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___Solar-NEU\Download\"/>
    </mc:Choice>
  </mc:AlternateContent>
  <xr:revisionPtr revIDLastSave="0" documentId="8_{BDF1CFD6-3954-4F25-87D8-126DC1C73567}" xr6:coauthVersionLast="47" xr6:coauthVersionMax="47" xr10:uidLastSave="{00000000-0000-0000-0000-000000000000}"/>
  <bookViews>
    <workbookView xWindow="-110" yWindow="-110" windowWidth="38620" windowHeight="20600"/>
  </bookViews>
  <sheets>
    <sheet name="Grunddaten" sheetId="4" r:id="rId1"/>
    <sheet name="Auswertung" sheetId="1" r:id="rId2"/>
    <sheet name="Installations-Jahr" sheetId="13" r:id="rId3"/>
    <sheet name="5-Jahre" sheetId="14" r:id="rId4"/>
    <sheet name="10-Jahre" sheetId="15" r:id="rId5"/>
    <sheet name="20-Jahre" sheetId="16" r:id="rId6"/>
  </sheets>
  <definedNames>
    <definedName name="Anlagengröße">Grunddaten!$B$7</definedName>
    <definedName name="Apr_Prozent">Grunddaten!$F$20</definedName>
    <definedName name="Aug_Prozent">Grunddaten!$J$20</definedName>
    <definedName name="Dez_Prozent">Grunddaten!$N$20</definedName>
    <definedName name="_xlnm.Print_Area" localSheetId="1">Auswertung!$A$1:$V$58</definedName>
    <definedName name="Effektive_Fläche">Grunddaten!$G$5</definedName>
    <definedName name="EUR_2006">Auswertung!#REF!</definedName>
    <definedName name="EUR_2007">Auswertung!#REF!</definedName>
    <definedName name="EUR_2008">Auswertung!#REF!</definedName>
    <definedName name="EUR_2009">Auswertung!#REF!</definedName>
    <definedName name="EUR_2010">Auswertung!#REF!</definedName>
    <definedName name="eur_2011">Auswertung!#REF!</definedName>
    <definedName name="eur_2012">Auswertung!#REF!</definedName>
    <definedName name="eur_2013">Auswertung!#REF!</definedName>
    <definedName name="eur_2014">Auswertung!#REF!</definedName>
    <definedName name="eur_2015">Auswertung!#REF!</definedName>
    <definedName name="eur_2016">Auswertung!#REF!</definedName>
    <definedName name="eur_2017">Auswertung!#REF!</definedName>
    <definedName name="eur_2018">Auswertung!#REF!</definedName>
    <definedName name="eur_2019">Auswertung!#REF!</definedName>
    <definedName name="eur_2020">Auswertung!#REF!</definedName>
    <definedName name="eur_2021">Auswertung!#REF!</definedName>
    <definedName name="eur_2022">Auswertung!#REF!</definedName>
    <definedName name="eur_2023">Auswertung!#REF!</definedName>
    <definedName name="eur_2024">Auswertung!#REF!</definedName>
    <definedName name="eur_2025">Auswertung!#REF!</definedName>
    <definedName name="eur_2026">Auswertung!#REF!</definedName>
    <definedName name="Feb_Prozent">Grunddaten!$D$20</definedName>
    <definedName name="Jahres_Soll">Grunddaten!$C$9</definedName>
    <definedName name="Jan_Prozent">Grunddaten!$C$20</definedName>
    <definedName name="Jul_Prozent">Grunddaten!$I$20</definedName>
    <definedName name="Jun_Prozent">Grunddaten!$H$20</definedName>
    <definedName name="k2_2022">Auswertung!#REF!</definedName>
    <definedName name="kw_2006">Auswertung!#REF!</definedName>
    <definedName name="kw_2007">Auswertung!#REF!</definedName>
    <definedName name="kw_2008">Auswertung!#REF!</definedName>
    <definedName name="kw_2009">Auswertung!#REF!</definedName>
    <definedName name="kw_2010">Auswertung!#REF!</definedName>
    <definedName name="kw_2011">Auswertung!#REF!</definedName>
    <definedName name="kw_2012">Auswertung!#REF!</definedName>
    <definedName name="kw_2013">Auswertung!#REF!</definedName>
    <definedName name="kw_2014">Auswertung!#REF!</definedName>
    <definedName name="kw_2015">Auswertung!#REF!</definedName>
    <definedName name="kw_2016">Auswertung!#REF!</definedName>
    <definedName name="kw_2017">Auswertung!#REF!</definedName>
    <definedName name="kw_2018">Auswertung!#REF!</definedName>
    <definedName name="kw_2019">Auswertung!#REF!</definedName>
    <definedName name="kw_2020">Auswertung!#REF!</definedName>
    <definedName name="kw_2021">Auswertung!#REF!</definedName>
    <definedName name="kw_2022">Auswertung!#REF!</definedName>
    <definedName name="kw_2023">Auswertung!#REF!</definedName>
    <definedName name="kw_2024">Auswertung!#REF!</definedName>
    <definedName name="kw_2025">Auswertung!#REF!</definedName>
    <definedName name="kw_2026">Auswertung!#REF!</definedName>
    <definedName name="Mai_Prozent">Grunddaten!$G$20</definedName>
    <definedName name="Mrz_Prozent">Grunddaten!$E$20</definedName>
    <definedName name="Nov_Prozent">Grunddaten!$M$20</definedName>
    <definedName name="Okt_Prozent">Grunddaten!$L$20</definedName>
    <definedName name="Produktionstage">Grunddaten!$G$17</definedName>
    <definedName name="Sep_Prozent">Grunddaten!$K$20</definedName>
    <definedName name="Startdatum">Grunddaten!$G$12</definedName>
    <definedName name="Startjahr">Grunddaten!#REF!</definedName>
    <definedName name="Startjahr_Ist">Grunddaten!$C$25:$N$25</definedName>
    <definedName name="Startjahr_Soll">Grunddaten!$O$22</definedName>
    <definedName name="Tage_Jahr">Grunddaten!$G$12</definedName>
    <definedName name="Vergütung_kW">Grunddaten!$C$11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" l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G17" i="4"/>
  <c r="C9" i="4"/>
  <c r="C8" i="4"/>
  <c r="C10" i="4" s="1"/>
  <c r="C11" i="4" s="1"/>
  <c r="D8" i="4"/>
  <c r="B6" i="1"/>
  <c r="C6" i="1"/>
  <c r="D6" i="1"/>
  <c r="E6" i="1"/>
  <c r="F6" i="1"/>
  <c r="G6" i="1"/>
  <c r="H6" i="1"/>
  <c r="AJ9" i="1" s="1"/>
  <c r="I6" i="1"/>
  <c r="J6" i="1"/>
  <c r="K6" i="1"/>
  <c r="L6" i="1"/>
  <c r="M6" i="1"/>
  <c r="B7" i="1"/>
  <c r="C7" i="1"/>
  <c r="D7" i="1"/>
  <c r="E7" i="1"/>
  <c r="F7" i="1"/>
  <c r="G7" i="1"/>
  <c r="H7" i="1"/>
  <c r="AK9" i="1" s="1"/>
  <c r="I7" i="1"/>
  <c r="J7" i="1"/>
  <c r="K7" i="1"/>
  <c r="L7" i="1"/>
  <c r="M7" i="1"/>
  <c r="B8" i="1"/>
  <c r="C8" i="1"/>
  <c r="D8" i="1"/>
  <c r="E8" i="1"/>
  <c r="F8" i="1"/>
  <c r="G8" i="1"/>
  <c r="H8" i="1"/>
  <c r="AL9" i="1" s="1"/>
  <c r="I8" i="1"/>
  <c r="J8" i="1"/>
  <c r="K8" i="1"/>
  <c r="L8" i="1"/>
  <c r="M8" i="1"/>
  <c r="B9" i="1"/>
  <c r="C9" i="1"/>
  <c r="D9" i="1"/>
  <c r="E9" i="1"/>
  <c r="F9" i="1"/>
  <c r="G9" i="1"/>
  <c r="AM8" i="1" s="1"/>
  <c r="H9" i="1"/>
  <c r="I9" i="1"/>
  <c r="J9" i="1"/>
  <c r="K9" i="1"/>
  <c r="L9" i="1"/>
  <c r="M9" i="1"/>
  <c r="B10" i="1"/>
  <c r="C10" i="1"/>
  <c r="D10" i="1"/>
  <c r="E10" i="1"/>
  <c r="F10" i="1"/>
  <c r="G10" i="1"/>
  <c r="AN8" i="1" s="1"/>
  <c r="H10" i="1"/>
  <c r="AN9" i="1" s="1"/>
  <c r="I10" i="1"/>
  <c r="J10" i="1"/>
  <c r="AN11" i="1" s="1"/>
  <c r="K10" i="1"/>
  <c r="L10" i="1"/>
  <c r="M10" i="1"/>
  <c r="B11" i="1"/>
  <c r="C11" i="1"/>
  <c r="D11" i="1"/>
  <c r="E11" i="1"/>
  <c r="F11" i="1"/>
  <c r="G11" i="1"/>
  <c r="H11" i="1"/>
  <c r="AO9" i="1" s="1"/>
  <c r="I11" i="1"/>
  <c r="J11" i="1"/>
  <c r="K11" i="1"/>
  <c r="L11" i="1"/>
  <c r="M11" i="1"/>
  <c r="B12" i="1"/>
  <c r="C12" i="1"/>
  <c r="D12" i="1"/>
  <c r="AP5" i="1" s="1"/>
  <c r="E12" i="1"/>
  <c r="F12" i="1"/>
  <c r="G12" i="1"/>
  <c r="H12" i="1"/>
  <c r="AP9" i="1" s="1"/>
  <c r="I12" i="1"/>
  <c r="J12" i="1"/>
  <c r="K12" i="1"/>
  <c r="L12" i="1"/>
  <c r="M12" i="1"/>
  <c r="B13" i="1"/>
  <c r="C13" i="1"/>
  <c r="D13" i="1"/>
  <c r="E13" i="1"/>
  <c r="F13" i="1"/>
  <c r="AQ7" i="1" s="1"/>
  <c r="G13" i="1"/>
  <c r="H13" i="1"/>
  <c r="AQ9" i="1" s="1"/>
  <c r="I13" i="1"/>
  <c r="J13" i="1"/>
  <c r="K13" i="1"/>
  <c r="L13" i="1"/>
  <c r="M13" i="1"/>
  <c r="B14" i="1"/>
  <c r="C14" i="1"/>
  <c r="D14" i="1"/>
  <c r="E14" i="1"/>
  <c r="F14" i="1"/>
  <c r="G14" i="1"/>
  <c r="H14" i="1"/>
  <c r="I14" i="1"/>
  <c r="J14" i="1"/>
  <c r="AR11" i="1" s="1"/>
  <c r="K14" i="1"/>
  <c r="L14" i="1"/>
  <c r="M14" i="1"/>
  <c r="B15" i="1"/>
  <c r="C15" i="1"/>
  <c r="D15" i="1"/>
  <c r="E15" i="1"/>
  <c r="F15" i="1"/>
  <c r="G15" i="1"/>
  <c r="H15" i="1"/>
  <c r="AS9" i="1" s="1"/>
  <c r="I15" i="1"/>
  <c r="J15" i="1"/>
  <c r="K15" i="1"/>
  <c r="L15" i="1"/>
  <c r="AS13" i="1" s="1"/>
  <c r="M15" i="1"/>
  <c r="B16" i="1"/>
  <c r="C16" i="1"/>
  <c r="D16" i="1"/>
  <c r="AT5" i="1" s="1"/>
  <c r="E16" i="1"/>
  <c r="F16" i="1"/>
  <c r="G16" i="1"/>
  <c r="H16" i="1"/>
  <c r="AT9" i="1" s="1"/>
  <c r="I16" i="1"/>
  <c r="AT10" i="1" s="1"/>
  <c r="J16" i="1"/>
  <c r="K16" i="1"/>
  <c r="L16" i="1"/>
  <c r="M16" i="1"/>
  <c r="B17" i="1"/>
  <c r="C17" i="1"/>
  <c r="D17" i="1"/>
  <c r="E17" i="1"/>
  <c r="F17" i="1"/>
  <c r="G17" i="1"/>
  <c r="AU8" i="1" s="1"/>
  <c r="H17" i="1"/>
  <c r="AU9" i="1" s="1"/>
  <c r="I17" i="1"/>
  <c r="J17" i="1"/>
  <c r="K17" i="1"/>
  <c r="L17" i="1"/>
  <c r="M17" i="1"/>
  <c r="B18" i="1"/>
  <c r="C18" i="1"/>
  <c r="D18" i="1"/>
  <c r="E18" i="1"/>
  <c r="F18" i="1"/>
  <c r="G18" i="1"/>
  <c r="H18" i="1"/>
  <c r="AV9" i="1" s="1"/>
  <c r="I18" i="1"/>
  <c r="J18" i="1"/>
  <c r="K18" i="1"/>
  <c r="L18" i="1"/>
  <c r="M18" i="1"/>
  <c r="B19" i="1"/>
  <c r="C19" i="1"/>
  <c r="D19" i="1"/>
  <c r="E19" i="1"/>
  <c r="F19" i="1"/>
  <c r="G19" i="1"/>
  <c r="AW8" i="1" s="1"/>
  <c r="H19" i="1"/>
  <c r="AW9" i="1" s="1"/>
  <c r="I19" i="1"/>
  <c r="J19" i="1"/>
  <c r="K19" i="1"/>
  <c r="L19" i="1"/>
  <c r="M19" i="1"/>
  <c r="B20" i="1"/>
  <c r="C20" i="1"/>
  <c r="D20" i="1"/>
  <c r="E20" i="1"/>
  <c r="F20" i="1"/>
  <c r="G20" i="1"/>
  <c r="H20" i="1"/>
  <c r="AX9" i="1" s="1"/>
  <c r="I20" i="1"/>
  <c r="AX10" i="1" s="1"/>
  <c r="J20" i="1"/>
  <c r="K20" i="1"/>
  <c r="L20" i="1"/>
  <c r="M20" i="1"/>
  <c r="B21" i="1"/>
  <c r="C21" i="1"/>
  <c r="D21" i="1"/>
  <c r="E21" i="1"/>
  <c r="F21" i="1"/>
  <c r="AY7" i="1" s="1"/>
  <c r="G21" i="1"/>
  <c r="AY8" i="1" s="1"/>
  <c r="H21" i="1"/>
  <c r="I21" i="1"/>
  <c r="J21" i="1"/>
  <c r="K21" i="1"/>
  <c r="L21" i="1"/>
  <c r="M21" i="1"/>
  <c r="AY14" i="1" s="1"/>
  <c r="B22" i="1"/>
  <c r="C22" i="1"/>
  <c r="D22" i="1"/>
  <c r="E22" i="1"/>
  <c r="F22" i="1"/>
  <c r="G22" i="1"/>
  <c r="AZ8" i="1" s="1"/>
  <c r="H22" i="1"/>
  <c r="AZ9" i="1" s="1"/>
  <c r="I22" i="1"/>
  <c r="J22" i="1"/>
  <c r="AZ11" i="1" s="1"/>
  <c r="K22" i="1"/>
  <c r="L22" i="1"/>
  <c r="M22" i="1"/>
  <c r="B23" i="1"/>
  <c r="C23" i="1"/>
  <c r="D23" i="1"/>
  <c r="BA5" i="1" s="1"/>
  <c r="E23" i="1"/>
  <c r="F23" i="1"/>
  <c r="G23" i="1"/>
  <c r="BA8" i="1" s="1"/>
  <c r="H23" i="1"/>
  <c r="BA9" i="1" s="1"/>
  <c r="I23" i="1"/>
  <c r="J23" i="1"/>
  <c r="K23" i="1"/>
  <c r="L23" i="1"/>
  <c r="BA13" i="1" s="1"/>
  <c r="M23" i="1"/>
  <c r="B24" i="1"/>
  <c r="C24" i="1"/>
  <c r="D24" i="1"/>
  <c r="BB5" i="1" s="1"/>
  <c r="E24" i="1"/>
  <c r="F24" i="1"/>
  <c r="G24" i="1"/>
  <c r="H24" i="1"/>
  <c r="BB9" i="1" s="1"/>
  <c r="I24" i="1"/>
  <c r="BB10" i="1" s="1"/>
  <c r="J24" i="1"/>
  <c r="K24" i="1"/>
  <c r="L24" i="1"/>
  <c r="M24" i="1"/>
  <c r="B25" i="1"/>
  <c r="C25" i="1"/>
  <c r="BC4" i="1" s="1"/>
  <c r="D25" i="1"/>
  <c r="E25" i="1"/>
  <c r="BC6" i="1" s="1"/>
  <c r="F25" i="1"/>
  <c r="BC7" i="1" s="1"/>
  <c r="G25" i="1"/>
  <c r="BC8" i="1" s="1"/>
  <c r="H25" i="1"/>
  <c r="BC9" i="1" s="1"/>
  <c r="I25" i="1"/>
  <c r="BC10" i="1" s="1"/>
  <c r="J25" i="1"/>
  <c r="BC11" i="1" s="1"/>
  <c r="K25" i="1"/>
  <c r="L25" i="1"/>
  <c r="M25" i="1"/>
  <c r="BC14" i="1" s="1"/>
  <c r="C21" i="4"/>
  <c r="C22" i="4"/>
  <c r="D21" i="4"/>
  <c r="D22" i="4" s="1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S31" i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3" i="1" s="1"/>
  <c r="C4" i="1"/>
  <c r="AF4" i="1" s="1"/>
  <c r="D4" i="1"/>
  <c r="AF5" i="1" s="1"/>
  <c r="E4" i="1"/>
  <c r="E55" i="1"/>
  <c r="F4" i="1"/>
  <c r="G4" i="1"/>
  <c r="G55" i="1" s="1"/>
  <c r="H4" i="1"/>
  <c r="I4" i="1"/>
  <c r="AF10" i="1" s="1"/>
  <c r="J4" i="1"/>
  <c r="AF11" i="1" s="1"/>
  <c r="K4" i="1"/>
  <c r="AF12" i="1" s="1"/>
  <c r="L4" i="1"/>
  <c r="AF13" i="1" s="1"/>
  <c r="M4" i="1"/>
  <c r="AF14" i="1" s="1"/>
  <c r="B4" i="1"/>
  <c r="BC3" i="1"/>
  <c r="BC5" i="1"/>
  <c r="BC12" i="1"/>
  <c r="BC13" i="1"/>
  <c r="C52" i="1"/>
  <c r="O46" i="4"/>
  <c r="Y4" i="1"/>
  <c r="X4" i="1"/>
  <c r="AG3" i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E21" i="4"/>
  <c r="F21" i="4"/>
  <c r="AG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F22" i="4"/>
  <c r="G21" i="4"/>
  <c r="G22" i="4" s="1"/>
  <c r="H21" i="4"/>
  <c r="AG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H22" i="4"/>
  <c r="I21" i="4"/>
  <c r="I22" i="4" s="1"/>
  <c r="J21" i="4"/>
  <c r="K21" i="4"/>
  <c r="AG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BR11" i="1" s="1"/>
  <c r="BS11" i="1" s="1"/>
  <c r="BT11" i="1" s="1"/>
  <c r="BU11" i="1" s="1"/>
  <c r="BV11" i="1" s="1"/>
  <c r="BW11" i="1" s="1"/>
  <c r="BX11" i="1" s="1"/>
  <c r="L21" i="4"/>
  <c r="K2" i="1" s="1"/>
  <c r="M21" i="4"/>
  <c r="AG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N21" i="4"/>
  <c r="N22" i="4" s="1"/>
  <c r="AG14" i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B4" i="1"/>
  <c r="AT4" i="1"/>
  <c r="AS4" i="1"/>
  <c r="AR4" i="1"/>
  <c r="AQ4" i="1"/>
  <c r="AP4" i="1"/>
  <c r="AO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Z14" i="1"/>
  <c r="BA14" i="1"/>
  <c r="BB14" i="1"/>
  <c r="AJ13" i="1"/>
  <c r="AK13" i="1"/>
  <c r="AL13" i="1"/>
  <c r="AM13" i="1"/>
  <c r="AN13" i="1"/>
  <c r="AP13" i="1"/>
  <c r="AQ13" i="1"/>
  <c r="AR13" i="1"/>
  <c r="AT13" i="1"/>
  <c r="AU13" i="1"/>
  <c r="AV13" i="1"/>
  <c r="AW13" i="1"/>
  <c r="AX13" i="1"/>
  <c r="AY13" i="1"/>
  <c r="AZ13" i="1"/>
  <c r="BB13" i="1"/>
  <c r="AJ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AJ11" i="1"/>
  <c r="AK11" i="1"/>
  <c r="AL11" i="1"/>
  <c r="AM11" i="1"/>
  <c r="AO11" i="1"/>
  <c r="AP11" i="1"/>
  <c r="AQ11" i="1"/>
  <c r="AS11" i="1"/>
  <c r="AT11" i="1"/>
  <c r="AU11" i="1"/>
  <c r="AV11" i="1"/>
  <c r="AW11" i="1"/>
  <c r="AX11" i="1"/>
  <c r="AY11" i="1"/>
  <c r="BA11" i="1"/>
  <c r="BB11" i="1"/>
  <c r="AJ10" i="1"/>
  <c r="AK10" i="1"/>
  <c r="AM10" i="1"/>
  <c r="AN10" i="1"/>
  <c r="AO10" i="1"/>
  <c r="AP10" i="1"/>
  <c r="AQ10" i="1"/>
  <c r="AR10" i="1"/>
  <c r="AS10" i="1"/>
  <c r="AU10" i="1"/>
  <c r="AV10" i="1"/>
  <c r="AW10" i="1"/>
  <c r="AY10" i="1"/>
  <c r="AZ10" i="1"/>
  <c r="BA10" i="1"/>
  <c r="AM9" i="1"/>
  <c r="AR9" i="1"/>
  <c r="AY9" i="1"/>
  <c r="AJ8" i="1"/>
  <c r="AK8" i="1"/>
  <c r="AL8" i="1"/>
  <c r="AO8" i="1"/>
  <c r="AP8" i="1"/>
  <c r="AQ8" i="1"/>
  <c r="AR8" i="1"/>
  <c r="AS8" i="1"/>
  <c r="AT8" i="1"/>
  <c r="AV8" i="1"/>
  <c r="AX8" i="1"/>
  <c r="BB8" i="1"/>
  <c r="AF7" i="1"/>
  <c r="AJ7" i="1"/>
  <c r="AK7" i="1"/>
  <c r="AL7" i="1"/>
  <c r="AN7" i="1"/>
  <c r="AO7" i="1"/>
  <c r="AP7" i="1"/>
  <c r="AR7" i="1"/>
  <c r="AS7" i="1"/>
  <c r="AT7" i="1"/>
  <c r="AU7" i="1"/>
  <c r="AV7" i="1"/>
  <c r="AW7" i="1"/>
  <c r="AX7" i="1"/>
  <c r="AZ7" i="1"/>
  <c r="BA7" i="1"/>
  <c r="BB7" i="1"/>
  <c r="AF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AJ5" i="1"/>
  <c r="AK5" i="1"/>
  <c r="AL5" i="1"/>
  <c r="AM5" i="1"/>
  <c r="AN5" i="1"/>
  <c r="AO5" i="1"/>
  <c r="AQ5" i="1"/>
  <c r="AR5" i="1"/>
  <c r="AS5" i="1"/>
  <c r="AU5" i="1"/>
  <c r="AV5" i="1"/>
  <c r="AW5" i="1"/>
  <c r="AX5" i="1"/>
  <c r="AY5" i="1"/>
  <c r="AZ5" i="1"/>
  <c r="BA4" i="1"/>
  <c r="AY4" i="1"/>
  <c r="AX4" i="1"/>
  <c r="AW4" i="1"/>
  <c r="AU4" i="1"/>
  <c r="AN4" i="1"/>
  <c r="AM4" i="1"/>
  <c r="AL4" i="1"/>
  <c r="AK4" i="1"/>
  <c r="AJ4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B2" i="1"/>
  <c r="C2" i="1"/>
  <c r="E2" i="1"/>
  <c r="G2" i="1"/>
  <c r="H2" i="1"/>
  <c r="L2" i="1"/>
  <c r="O20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27" i="4"/>
  <c r="O25" i="4"/>
  <c r="C31" i="1"/>
  <c r="C32" i="1" s="1"/>
  <c r="C33" i="1" s="1"/>
  <c r="A4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F2" i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AG9" i="1" l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M27" i="1"/>
  <c r="M22" i="4"/>
  <c r="J2" i="1"/>
  <c r="AG12" i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  <c r="BP12" i="1" s="1"/>
  <c r="BQ12" i="1" s="1"/>
  <c r="BR12" i="1" s="1"/>
  <c r="BS12" i="1" s="1"/>
  <c r="BT12" i="1" s="1"/>
  <c r="BU12" i="1" s="1"/>
  <c r="BV12" i="1" s="1"/>
  <c r="BW12" i="1" s="1"/>
  <c r="BX12" i="1" s="1"/>
  <c r="K22" i="4"/>
  <c r="P31" i="4"/>
  <c r="P38" i="4"/>
  <c r="P42" i="4"/>
  <c r="G27" i="1"/>
  <c r="N7" i="1"/>
  <c r="S7" i="1" s="1"/>
  <c r="D55" i="1"/>
  <c r="D27" i="1"/>
  <c r="N25" i="1"/>
  <c r="N23" i="1"/>
  <c r="N21" i="1"/>
  <c r="P21" i="1" s="1"/>
  <c r="Q21" i="1" s="1"/>
  <c r="N20" i="1"/>
  <c r="T20" i="1" s="1"/>
  <c r="N19" i="1"/>
  <c r="O19" i="1" s="1"/>
  <c r="N17" i="1"/>
  <c r="P17" i="1" s="1"/>
  <c r="Q17" i="1" s="1"/>
  <c r="N16" i="1"/>
  <c r="P16" i="1" s="1"/>
  <c r="Q16" i="1" s="1"/>
  <c r="N15" i="1"/>
  <c r="O15" i="1" s="1"/>
  <c r="N14" i="1"/>
  <c r="T14" i="1" s="1"/>
  <c r="N13" i="1"/>
  <c r="T13" i="1" s="1"/>
  <c r="N12" i="1"/>
  <c r="O12" i="1" s="1"/>
  <c r="N8" i="1"/>
  <c r="P8" i="1" s="1"/>
  <c r="Q8" i="1" s="1"/>
  <c r="E27" i="1"/>
  <c r="AG4" i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M2" i="1"/>
  <c r="P34" i="4"/>
  <c r="AF8" i="1"/>
  <c r="AG7" i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E22" i="4"/>
  <c r="AG5" i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D2" i="1"/>
  <c r="F27" i="1"/>
  <c r="AM7" i="1"/>
  <c r="P33" i="4"/>
  <c r="AV4" i="1"/>
  <c r="N18" i="1"/>
  <c r="S17" i="1"/>
  <c r="T17" i="1"/>
  <c r="O17" i="1"/>
  <c r="R17" i="1"/>
  <c r="S16" i="1"/>
  <c r="V16" i="1"/>
  <c r="T16" i="1"/>
  <c r="O16" i="1"/>
  <c r="U16" i="1"/>
  <c r="R16" i="1"/>
  <c r="P15" i="1"/>
  <c r="Q15" i="1" s="1"/>
  <c r="S15" i="1"/>
  <c r="R7" i="1"/>
  <c r="V7" i="1"/>
  <c r="U7" i="1"/>
  <c r="O7" i="1"/>
  <c r="T7" i="1"/>
  <c r="P7" i="1"/>
  <c r="Q7" i="1" s="1"/>
  <c r="F55" i="1"/>
  <c r="P32" i="4"/>
  <c r="I27" i="1"/>
  <c r="P14" i="1"/>
  <c r="Q14" i="1" s="1"/>
  <c r="U14" i="1"/>
  <c r="R14" i="1"/>
  <c r="V14" i="1"/>
  <c r="P13" i="1"/>
  <c r="Q13" i="1" s="1"/>
  <c r="S13" i="1"/>
  <c r="U13" i="1"/>
  <c r="R13" i="1"/>
  <c r="O13" i="1"/>
  <c r="N11" i="1"/>
  <c r="S21" i="1"/>
  <c r="R21" i="1"/>
  <c r="V21" i="1"/>
  <c r="T21" i="1"/>
  <c r="O21" i="1"/>
  <c r="V19" i="1"/>
  <c r="P40" i="4"/>
  <c r="P46" i="4"/>
  <c r="H55" i="1"/>
  <c r="AF9" i="1"/>
  <c r="O14" i="1"/>
  <c r="N10" i="1"/>
  <c r="C55" i="1"/>
  <c r="C27" i="1"/>
  <c r="S8" i="1"/>
  <c r="V8" i="1"/>
  <c r="O8" i="1"/>
  <c r="N22" i="1"/>
  <c r="AZ4" i="1"/>
  <c r="S20" i="1"/>
  <c r="O20" i="1"/>
  <c r="P20" i="1"/>
  <c r="Q20" i="1" s="1"/>
  <c r="P39" i="4"/>
  <c r="P29" i="4"/>
  <c r="P41" i="4"/>
  <c r="P35" i="4"/>
  <c r="P25" i="4"/>
  <c r="D31" i="1"/>
  <c r="P27" i="4"/>
  <c r="P30" i="4"/>
  <c r="H27" i="1"/>
  <c r="K27" i="1"/>
  <c r="AK12" i="1"/>
  <c r="K55" i="1"/>
  <c r="L27" i="1"/>
  <c r="AO13" i="1"/>
  <c r="L55" i="1"/>
  <c r="D32" i="1"/>
  <c r="P37" i="4"/>
  <c r="C34" i="1"/>
  <c r="D33" i="1"/>
  <c r="P44" i="4"/>
  <c r="AJ14" i="1"/>
  <c r="M55" i="1"/>
  <c r="P45" i="4"/>
  <c r="P36" i="4"/>
  <c r="U20" i="1"/>
  <c r="J22" i="4"/>
  <c r="AG10" i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I2" i="1"/>
  <c r="N4" i="1"/>
  <c r="B55" i="1"/>
  <c r="B27" i="1"/>
  <c r="AF3" i="1"/>
  <c r="I55" i="1"/>
  <c r="AL10" i="1"/>
  <c r="P28" i="4"/>
  <c r="P43" i="4"/>
  <c r="R20" i="1"/>
  <c r="O21" i="4"/>
  <c r="P25" i="1"/>
  <c r="Q25" i="1" s="1"/>
  <c r="S25" i="1"/>
  <c r="V25" i="1"/>
  <c r="U25" i="1"/>
  <c r="T25" i="1"/>
  <c r="R25" i="1"/>
  <c r="O25" i="1"/>
  <c r="N24" i="1"/>
  <c r="U23" i="1"/>
  <c r="O23" i="1"/>
  <c r="R23" i="1"/>
  <c r="P23" i="1"/>
  <c r="Q23" i="1" s="1"/>
  <c r="V23" i="1"/>
  <c r="S23" i="1"/>
  <c r="T23" i="1"/>
  <c r="N6" i="1"/>
  <c r="J27" i="1"/>
  <c r="N9" i="1"/>
  <c r="F2" i="1"/>
  <c r="L22" i="4"/>
  <c r="J55" i="1"/>
  <c r="V20" i="1" l="1"/>
  <c r="R12" i="1"/>
  <c r="S14" i="1"/>
  <c r="U12" i="1"/>
  <c r="S12" i="1"/>
  <c r="V13" i="1"/>
  <c r="R19" i="1"/>
  <c r="R8" i="1"/>
  <c r="T8" i="1"/>
  <c r="U8" i="1"/>
  <c r="V12" i="1"/>
  <c r="T12" i="1"/>
  <c r="U19" i="1"/>
  <c r="U21" i="1"/>
  <c r="S19" i="1"/>
  <c r="P19" i="1"/>
  <c r="Q19" i="1" s="1"/>
  <c r="T15" i="1"/>
  <c r="R15" i="1"/>
  <c r="V15" i="1"/>
  <c r="U15" i="1"/>
  <c r="T19" i="1"/>
  <c r="P12" i="1"/>
  <c r="Q12" i="1" s="1"/>
  <c r="U17" i="1"/>
  <c r="V17" i="1"/>
  <c r="P10" i="1"/>
  <c r="Q10" i="1" s="1"/>
  <c r="R10" i="1"/>
  <c r="S10" i="1"/>
  <c r="V10" i="1"/>
  <c r="T10" i="1"/>
  <c r="O10" i="1"/>
  <c r="U10" i="1"/>
  <c r="R18" i="1"/>
  <c r="V18" i="1"/>
  <c r="P18" i="1"/>
  <c r="Q18" i="1" s="1"/>
  <c r="T18" i="1"/>
  <c r="S18" i="1"/>
  <c r="U18" i="1"/>
  <c r="O18" i="1"/>
  <c r="S24" i="1"/>
  <c r="U24" i="1"/>
  <c r="R24" i="1"/>
  <c r="O24" i="1"/>
  <c r="P24" i="1"/>
  <c r="Q24" i="1" s="1"/>
  <c r="V24" i="1"/>
  <c r="T24" i="1"/>
  <c r="P9" i="1"/>
  <c r="Q9" i="1" s="1"/>
  <c r="U9" i="1"/>
  <c r="S9" i="1"/>
  <c r="R9" i="1"/>
  <c r="V9" i="1"/>
  <c r="T9" i="1"/>
  <c r="O9" i="1"/>
  <c r="R6" i="1"/>
  <c r="H32" i="1"/>
  <c r="H49" i="1"/>
  <c r="H37" i="1"/>
  <c r="O6" i="1"/>
  <c r="P6" i="1"/>
  <c r="Q6" i="1" s="1"/>
  <c r="V6" i="1"/>
  <c r="H48" i="1"/>
  <c r="H36" i="1"/>
  <c r="H35" i="1"/>
  <c r="H47" i="1"/>
  <c r="T6" i="1"/>
  <c r="H46" i="1"/>
  <c r="H34" i="1"/>
  <c r="S6" i="1"/>
  <c r="H44" i="1"/>
  <c r="H31" i="1"/>
  <c r="H42" i="1"/>
  <c r="H33" i="1"/>
  <c r="H45" i="1"/>
  <c r="H38" i="1"/>
  <c r="H50" i="1"/>
  <c r="H43" i="1"/>
  <c r="U6" i="1"/>
  <c r="H41" i="1"/>
  <c r="H40" i="1"/>
  <c r="H39" i="1"/>
  <c r="P22" i="1"/>
  <c r="Q22" i="1" s="1"/>
  <c r="R22" i="1"/>
  <c r="S22" i="1"/>
  <c r="U22" i="1"/>
  <c r="V22" i="1"/>
  <c r="O22" i="1"/>
  <c r="T22" i="1"/>
  <c r="C35" i="1"/>
  <c r="D34" i="1"/>
  <c r="O4" i="1"/>
  <c r="N27" i="1"/>
  <c r="H53" i="1" s="1"/>
  <c r="U4" i="1"/>
  <c r="T4" i="1"/>
  <c r="S4" i="1"/>
  <c r="R4" i="1"/>
  <c r="V4" i="1"/>
  <c r="P4" i="1"/>
  <c r="Q4" i="1" s="1"/>
  <c r="U11" i="1"/>
  <c r="O11" i="1"/>
  <c r="R11" i="1"/>
  <c r="P11" i="1"/>
  <c r="Q11" i="1" s="1"/>
  <c r="V11" i="1"/>
  <c r="S11" i="1"/>
  <c r="T11" i="1"/>
  <c r="P47" i="4"/>
  <c r="O22" i="4"/>
  <c r="N31" i="1" l="1"/>
  <c r="O31" i="1" s="1"/>
  <c r="P31" i="1"/>
  <c r="I34" i="1"/>
  <c r="I38" i="1"/>
  <c r="I42" i="1"/>
  <c r="I46" i="1"/>
  <c r="I50" i="1"/>
  <c r="I32" i="1"/>
  <c r="I35" i="1"/>
  <c r="I39" i="1"/>
  <c r="I43" i="1"/>
  <c r="I47" i="1"/>
  <c r="I36" i="1"/>
  <c r="I40" i="1"/>
  <c r="I44" i="1"/>
  <c r="I48" i="1"/>
  <c r="I33" i="1"/>
  <c r="I37" i="1"/>
  <c r="I41" i="1"/>
  <c r="I45" i="1"/>
  <c r="I49" i="1"/>
  <c r="I31" i="1"/>
  <c r="N34" i="1"/>
  <c r="O34" i="1" s="1"/>
  <c r="P34" i="1"/>
  <c r="P33" i="1"/>
  <c r="N33" i="1"/>
  <c r="O33" i="1" s="1"/>
  <c r="P32" i="1"/>
  <c r="N32" i="1"/>
  <c r="O32" i="1" s="1"/>
  <c r="C36" i="1"/>
  <c r="D35" i="1"/>
  <c r="O27" i="1"/>
  <c r="I53" i="1" s="1"/>
  <c r="N35" i="1"/>
  <c r="O35" i="1" s="1"/>
  <c r="P35" i="1"/>
  <c r="C37" i="1" l="1"/>
  <c r="D36" i="1"/>
  <c r="N36" i="1"/>
  <c r="O36" i="1" s="1"/>
  <c r="P36" i="1"/>
  <c r="D37" i="1" l="1"/>
  <c r="C38" i="1"/>
  <c r="N37" i="1"/>
  <c r="O37" i="1" s="1"/>
  <c r="P37" i="1"/>
  <c r="D38" i="1" l="1"/>
  <c r="C39" i="1"/>
  <c r="N38" i="1"/>
  <c r="O38" i="1" s="1"/>
  <c r="P38" i="1"/>
  <c r="D39" i="1" l="1"/>
  <c r="C40" i="1"/>
  <c r="N39" i="1"/>
  <c r="O39" i="1" s="1"/>
  <c r="P39" i="1"/>
  <c r="C41" i="1" l="1"/>
  <c r="D40" i="1"/>
  <c r="N40" i="1"/>
  <c r="O40" i="1" s="1"/>
  <c r="P40" i="1"/>
  <c r="C42" i="1" l="1"/>
  <c r="D41" i="1"/>
  <c r="P41" i="1"/>
  <c r="N41" i="1"/>
  <c r="O41" i="1" s="1"/>
  <c r="C43" i="1" l="1"/>
  <c r="D42" i="1"/>
  <c r="N42" i="1"/>
  <c r="O42" i="1" s="1"/>
  <c r="P42" i="1"/>
  <c r="C44" i="1" l="1"/>
  <c r="D43" i="1"/>
  <c r="N43" i="1"/>
  <c r="O43" i="1" s="1"/>
  <c r="P43" i="1"/>
  <c r="C45" i="1" l="1"/>
  <c r="D44" i="1"/>
  <c r="P44" i="1"/>
  <c r="N44" i="1"/>
  <c r="O44" i="1" s="1"/>
  <c r="D45" i="1" l="1"/>
  <c r="C46" i="1"/>
  <c r="P45" i="1"/>
  <c r="N45" i="1"/>
  <c r="O45" i="1" s="1"/>
  <c r="C47" i="1" l="1"/>
  <c r="D46" i="1"/>
  <c r="N46" i="1"/>
  <c r="O46" i="1" s="1"/>
  <c r="P46" i="1"/>
  <c r="C48" i="1" l="1"/>
  <c r="D47" i="1"/>
  <c r="P47" i="1"/>
  <c r="N47" i="1"/>
  <c r="O47" i="1" s="1"/>
  <c r="C49" i="1" l="1"/>
  <c r="D48" i="1"/>
  <c r="P48" i="1"/>
  <c r="N48" i="1"/>
  <c r="O48" i="1" s="1"/>
  <c r="D49" i="1" l="1"/>
  <c r="C50" i="1"/>
  <c r="N49" i="1"/>
  <c r="O49" i="1" s="1"/>
  <c r="P49" i="1"/>
  <c r="D50" i="1" l="1"/>
  <c r="C53" i="1"/>
  <c r="N50" i="1"/>
  <c r="O50" i="1" s="1"/>
  <c r="P50" i="1"/>
  <c r="D53" i="1" l="1"/>
  <c r="N53" i="1"/>
  <c r="O53" i="1" s="1"/>
  <c r="P53" i="1"/>
</calcChain>
</file>

<file path=xl/comments1.xml><?xml version="1.0" encoding="utf-8"?>
<comments xmlns="http://schemas.openxmlformats.org/spreadsheetml/2006/main">
  <authors>
    <author>Thomas Werber</author>
    <author>glaubert</author>
  </authors>
  <commentList>
    <comment ref="G5" authorId="0" shapeId="0">
      <text>
        <r>
          <rPr>
            <sz val="10"/>
            <color indexed="81"/>
            <rFont val="Arial"/>
            <family val="2"/>
          </rPr>
          <t>Tragen Sie hier die Gesamtfläche Ihrer Anlage ein.</t>
        </r>
      </text>
    </comment>
    <comment ref="C6" authorId="1" shapeId="0">
      <text>
        <r>
          <rPr>
            <b/>
            <sz val="8"/>
            <color indexed="81"/>
            <rFont val="Tahoma"/>
            <family val="2"/>
          </rPr>
          <t>Bitte Teilen Sie den Vergütungssätze auf, wenn Ihre Anlage &gt; 30 aber &lt; 100,01 kWp ist.</t>
        </r>
      </text>
    </comment>
    <comment ref="B7" authorId="1" shapeId="0">
      <text>
        <r>
          <rPr>
            <sz val="10"/>
            <color indexed="81"/>
            <rFont val="Arial"/>
            <family val="2"/>
          </rPr>
          <t>Tragen Sie hier die Größe Ihrer Anlage ein.</t>
        </r>
      </text>
    </comment>
    <comment ref="C7" authorId="1" shapeId="0">
      <text>
        <r>
          <rPr>
            <sz val="10"/>
            <color indexed="81"/>
            <rFont val="Arial"/>
            <family val="2"/>
          </rPr>
          <t xml:space="preserve">Geben Sie hier bitte die Vergütung für den Anteil </t>
        </r>
        <r>
          <rPr>
            <b/>
            <sz val="10"/>
            <color indexed="10"/>
            <rFont val="Arial"/>
            <family val="2"/>
          </rPr>
          <t>&gt;</t>
        </r>
        <r>
          <rPr>
            <sz val="10"/>
            <color indexed="81"/>
            <rFont val="Arial"/>
            <family val="2"/>
          </rPr>
          <t xml:space="preserve"> 30 bis </t>
        </r>
        <r>
          <rPr>
            <b/>
            <sz val="10"/>
            <color indexed="10"/>
            <rFont val="Arial"/>
            <family val="2"/>
          </rPr>
          <t>&lt;</t>
        </r>
        <r>
          <rPr>
            <sz val="10"/>
            <color indexed="81"/>
            <rFont val="Arial"/>
            <family val="2"/>
          </rPr>
          <t xml:space="preserve"> 100,01 kWp ein.</t>
        </r>
      </text>
    </comment>
    <comment ref="D7" authorId="1" shapeId="0">
      <text>
        <r>
          <rPr>
            <sz val="10"/>
            <color indexed="81"/>
            <rFont val="Arial"/>
            <family val="2"/>
          </rPr>
          <t>Geben Sie hier bitte die Vergütung für den Anteil bis 30 kWp ein.</t>
        </r>
      </text>
    </comment>
    <comment ref="B8" authorId="1" shapeId="0">
      <text>
        <r>
          <rPr>
            <sz val="10"/>
            <color indexed="81"/>
            <rFont val="Arial"/>
            <family val="2"/>
          </rPr>
          <t>Bitte geben Sie hier die erwartete Jahresleistung pro kWp ein.</t>
        </r>
      </text>
    </comment>
    <comment ref="C11" authorId="1" shapeId="0">
      <text>
        <r>
          <rPr>
            <sz val="10"/>
            <color indexed="81"/>
            <rFont val="Arial"/>
            <family val="2"/>
          </rPr>
          <t>Sie können abweichend Eingaben machen. Die Formel wird dann überschrieben!</t>
        </r>
      </text>
    </comment>
    <comment ref="G12" authorId="0" shapeId="0">
      <text>
        <r>
          <rPr>
            <sz val="10"/>
            <color indexed="81"/>
            <rFont val="Arial"/>
            <family val="2"/>
          </rPr>
          <t>Tragen Sie bitte hier das Datum ein, an dem Ihre Anlage in Betrieb ging.</t>
        </r>
      </text>
    </comment>
    <comment ref="F15" authorId="0" shapeId="0">
      <text>
        <r>
          <rPr>
            <b/>
            <sz val="10"/>
            <color indexed="13"/>
            <rFont val="Tahoma"/>
            <family val="2"/>
          </rPr>
          <t>Beachten Sie bitte die Felder mit dem roten Dreieck. 
Dort werden Ihnen entsprechende Informationen eingeblendet.</t>
        </r>
      </text>
    </comment>
    <comment ref="G17" authorId="0" shapeId="0">
      <text>
        <r>
          <rPr>
            <sz val="10"/>
            <color indexed="81"/>
            <rFont val="Arial"/>
            <family val="2"/>
          </rPr>
          <t>Hier sehen Sie die verbleibenden Tage des Produktionsjahres.
Mit diesem Wert wird auch der Durchschnitt für das erste Jahr berechnet.</t>
        </r>
      </text>
    </comment>
    <comment ref="B20" authorId="0" shapeId="0">
      <text>
        <r>
          <rPr>
            <sz val="10"/>
            <color indexed="81"/>
            <rFont val="Arial"/>
            <family val="2"/>
          </rPr>
          <t xml:space="preserve">Prozentanteil kann geändert werden.
Auf der Seite        </t>
        </r>
        <r>
          <rPr>
            <sz val="10"/>
            <color indexed="12"/>
            <rFont val="Arial"/>
            <family val="2"/>
          </rPr>
          <t>www.Solarstrom-von-dr-Alb.de</t>
        </r>
        <r>
          <rPr>
            <sz val="10"/>
            <color indexed="81"/>
            <rFont val="Arial"/>
            <family val="2"/>
          </rPr>
          <t xml:space="preserve"> / Globalstrahlung     finden Sie Daten von derzeit 50 Standorten in Deutschland mit den tatsächlichen Einstrahlungsdaten. Die Daten stammen vom </t>
        </r>
        <r>
          <rPr>
            <sz val="10"/>
            <color indexed="53"/>
            <rFont val="Arial"/>
            <family val="2"/>
          </rPr>
          <t xml:space="preserve">"Deutschen Wetterdienst". 
</t>
        </r>
        <r>
          <rPr>
            <sz val="10"/>
            <color indexed="8"/>
            <rFont val="Arial"/>
            <family val="2"/>
          </rPr>
          <t>Die Daten dort werden ständig aktualisiert.</t>
        </r>
      </text>
    </comment>
    <comment ref="B21" authorId="0" shapeId="0">
      <text>
        <r>
          <rPr>
            <sz val="10"/>
            <color indexed="81"/>
            <rFont val="Arial"/>
            <family val="2"/>
          </rPr>
          <t>Diese Erträge sollte Ihre Anlage im Monat erbringen.</t>
        </r>
      </text>
    </comment>
  </commentList>
</comments>
</file>

<file path=xl/sharedStrings.xml><?xml version="1.0" encoding="utf-8"?>
<sst xmlns="http://schemas.openxmlformats.org/spreadsheetml/2006/main" count="237" uniqueCount="106">
  <si>
    <t>gesamt</t>
  </si>
  <si>
    <t>Jahres-Soll</t>
  </si>
  <si>
    <t>Vergütung pro kW</t>
  </si>
  <si>
    <t>EUR</t>
  </si>
  <si>
    <t>Ist / Soll</t>
  </si>
  <si>
    <t>erbringt jährlich</t>
  </si>
  <si>
    <t>kWh</t>
  </si>
  <si>
    <t>5 Jahren</t>
  </si>
  <si>
    <t>10 Jahren</t>
  </si>
  <si>
    <t>15 Jahren</t>
  </si>
  <si>
    <t>20 Jahren</t>
  </si>
  <si>
    <t>kWh/kWp</t>
  </si>
  <si>
    <t>in %</t>
  </si>
  <si>
    <t>Monat</t>
  </si>
  <si>
    <t>Tag</t>
  </si>
  <si>
    <t>Durchschnittserträge</t>
  </si>
  <si>
    <t>Soll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</si>
  <si>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</si>
  <si>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</si>
  <si>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</si>
  <si>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</si>
  <si>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</si>
  <si>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</si>
  <si>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</si>
  <si>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</si>
  <si>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</si>
  <si>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</si>
  <si>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</si>
  <si>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</si>
  <si>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auf Dezimalstellen wurde verzichtet</t>
  </si>
  <si>
    <t>in</t>
  </si>
  <si>
    <t>Erwartete Erträge</t>
  </si>
  <si>
    <t>Jahreserträge</t>
  </si>
  <si>
    <t>absolut</t>
  </si>
  <si>
    <t>1 Jahr</t>
  </si>
  <si>
    <t>kWh/m²</t>
  </si>
  <si>
    <t>Monatssoll</t>
  </si>
  <si>
    <t>Prozentanteil</t>
  </si>
  <si>
    <t>Kontrolle</t>
  </si>
  <si>
    <t>Geben sie hier Ihre Erträge ein</t>
  </si>
  <si>
    <t>Erbrachte Ertäge</t>
  </si>
  <si>
    <t>%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</si>
  <si>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</si>
  <si>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</si>
  <si>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</si>
  <si>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</si>
  <si>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</si>
  <si>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</si>
  <si>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</si>
  <si>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</si>
  <si>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</si>
  <si>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</si>
  <si>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</si>
  <si>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21 Jahren</t>
  </si>
  <si>
    <t>Inclusiv des Inbetriebnahme-Jahres</t>
  </si>
  <si>
    <t>Euro</t>
  </si>
  <si>
    <t>2 Jahren</t>
  </si>
  <si>
    <t>3 Jahren</t>
  </si>
  <si>
    <t>4 Jahren</t>
  </si>
  <si>
    <t>6 Jahren</t>
  </si>
  <si>
    <t>7 Jahren</t>
  </si>
  <si>
    <t>8 Jahren</t>
  </si>
  <si>
    <t>9 Jahren</t>
  </si>
  <si>
    <t>Höchstwerte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</si>
  <si>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</si>
  <si>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</si>
  <si>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</si>
  <si>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</si>
  <si>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</si>
  <si>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</si>
  <si>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</si>
  <si>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</si>
  <si>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</si>
  <si>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</si>
  <si>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Jahr 11</t>
  </si>
  <si>
    <t>Jahr 12</t>
  </si>
  <si>
    <t>Jahr 13</t>
  </si>
  <si>
    <t>Jahr 14</t>
  </si>
  <si>
    <t>Jahr 15</t>
  </si>
  <si>
    <t>Jahr 16</t>
  </si>
  <si>
    <t>Jahr 17</t>
  </si>
  <si>
    <t>Jahr 18</t>
  </si>
  <si>
    <t>Jahr 19</t>
  </si>
  <si>
    <t>Jahr 20</t>
  </si>
  <si>
    <t xml:space="preserve">  Effektive Fläche</t>
  </si>
  <si>
    <t xml:space="preserve">  Datum der Inbetriebnahme</t>
  </si>
  <si>
    <t xml:space="preserve">  Produktionstage im Inbetriebnahme-Jahr</t>
  </si>
  <si>
    <t>Bitte beachten!!</t>
  </si>
  <si>
    <t>Install-J.</t>
  </si>
  <si>
    <t>Unkosten</t>
  </si>
  <si>
    <t>11 Jahren</t>
  </si>
  <si>
    <t>12 Jahren</t>
  </si>
  <si>
    <t>13 Jahren</t>
  </si>
  <si>
    <t>14 Jahren</t>
  </si>
  <si>
    <t>16 Jahren</t>
  </si>
  <si>
    <t>17 Jahren</t>
  </si>
  <si>
    <t>18 Jahren</t>
  </si>
  <si>
    <t>19 Jahren</t>
  </si>
  <si>
    <t>Jährl. Degradation</t>
  </si>
  <si>
    <t xml:space="preserve"> - im Startjahr</t>
  </si>
  <si>
    <t>Jahresvergleich der PV-Erträge</t>
  </si>
  <si>
    <t>Fam. Mustermann   *   12345 Testhausen    *    Musterstraße 12</t>
  </si>
  <si>
    <t>Meine Anlage</t>
  </si>
  <si>
    <t>Aufteilung Ertrag</t>
  </si>
  <si>
    <t>KWp:</t>
  </si>
  <si>
    <t>Plan kWh/kWp: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</si>
</sst>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9" formatCode="0.0000"/>
    <numFmt numFmtId="171" formatCode="0.0"/>
    <numFmt numFmtId="173" formatCode="0_ ;\-0\ "/>
    <numFmt numFmtId="175" formatCode="#,##0_ ;[Red]\-#,##0\ "/>
    <numFmt numFmtId="176" formatCode="#,##0.0"/>
    <numFmt numFmtId="177" formatCode="#,##0_ ;\-#,##0\ "/>
    <numFmt numFmtId="178" formatCode="0.0;[Red]0.0"/>
    <numFmt numFmtId="179" formatCode="#,##0.0_ ;[Red]\-#,##0.0\ "/>
    <numFmt numFmtId="181" formatCode="dd/mm/yy;@"/>
    <numFmt numFmtId="182" formatCode="#,##0.0000\ &quot;€&quot;"/>
  </numFmts>
  <fonts count="43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55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i/>
      <sz val="10"/>
      <color indexed="14"/>
      <name val="Arial"/>
      <family val="2"/>
    </font>
    <font>
      <b/>
      <sz val="10"/>
      <color indexed="8"/>
      <name val="Sep_Prozent"/>
    </font>
    <font>
      <b/>
      <sz val="10"/>
      <color indexed="8"/>
      <name val="Okt_Prozent"/>
    </font>
    <font>
      <b/>
      <sz val="10"/>
      <color indexed="8"/>
      <name val="Nov_Prozent"/>
    </font>
    <font>
      <b/>
      <sz val="10"/>
      <color indexed="8"/>
      <name val="Dez_Prozent"/>
    </font>
    <font>
      <b/>
      <sz val="10"/>
      <color indexed="13"/>
      <name val="Tahoma"/>
      <family val="2"/>
    </font>
    <font>
      <sz val="10"/>
      <color indexed="81"/>
      <name val="Arial"/>
      <family val="2"/>
    </font>
    <font>
      <sz val="10"/>
      <color indexed="12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0"/>
      <color indexed="26"/>
      <name val="Arial"/>
      <family val="2"/>
    </font>
    <font>
      <b/>
      <sz val="10"/>
      <color indexed="14"/>
      <name val="Arial"/>
      <family val="2"/>
    </font>
    <font>
      <b/>
      <sz val="8"/>
      <color indexed="81"/>
      <name val="Tahoma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indexed="16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15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9"/>
        <bgColor indexed="13"/>
      </patternFill>
    </fill>
    <fill>
      <patternFill patternType="solid">
        <fgColor indexed="17"/>
        <b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7"/>
        <bgColor indexed="64"/>
      </patternFill>
    </fill>
    <fill>
      <patternFill patternType="solid">
        <fgColor indexed="17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3" borderId="0" xfId="0" applyFont="1" applyFill="1" applyBorder="1" applyAlignment="1"/>
    <xf numFmtId="0" fontId="6" fillId="4" borderId="0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3" fontId="3" fillId="2" borderId="0" xfId="0" applyNumberFormat="1" applyFont="1" applyFill="1" applyAlignment="1">
      <alignment horizontal="center"/>
    </xf>
    <xf numFmtId="3" fontId="5" fillId="3" borderId="0" xfId="0" applyNumberFormat="1" applyFont="1" applyFill="1" applyBorder="1" applyAlignment="1"/>
    <xf numFmtId="173" fontId="5" fillId="6" borderId="2" xfId="0" applyNumberFormat="1" applyFont="1" applyFill="1" applyBorder="1" applyAlignment="1">
      <alignment horizontal="center"/>
    </xf>
    <xf numFmtId="173" fontId="5" fillId="6" borderId="3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77" fontId="9" fillId="0" borderId="0" xfId="1" applyNumberFormat="1" applyFont="1" applyAlignment="1">
      <alignment horizontal="center"/>
    </xf>
    <xf numFmtId="0" fontId="0" fillId="0" borderId="0" xfId="0" applyFill="1"/>
    <xf numFmtId="1" fontId="0" fillId="0" borderId="0" xfId="0" applyNumberFormat="1" applyFill="1"/>
    <xf numFmtId="3" fontId="3" fillId="5" borderId="4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71" fontId="0" fillId="8" borderId="2" xfId="0" applyNumberFormat="1" applyFill="1" applyBorder="1" applyAlignment="1">
      <alignment horizontal="center"/>
    </xf>
    <xf numFmtId="176" fontId="0" fillId="8" borderId="2" xfId="0" applyNumberFormat="1" applyFill="1" applyBorder="1" applyAlignment="1">
      <alignment horizontal="center"/>
    </xf>
    <xf numFmtId="171" fontId="0" fillId="8" borderId="3" xfId="0" applyNumberFormat="1" applyFill="1" applyBorder="1" applyAlignment="1">
      <alignment horizontal="center"/>
    </xf>
    <xf numFmtId="176" fontId="0" fillId="8" borderId="3" xfId="0" applyNumberForma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right"/>
    </xf>
    <xf numFmtId="175" fontId="5" fillId="3" borderId="0" xfId="0" applyNumberFormat="1" applyFont="1" applyFill="1" applyBorder="1" applyAlignment="1"/>
    <xf numFmtId="179" fontId="5" fillId="3" borderId="0" xfId="0" applyNumberFormat="1" applyFont="1" applyFill="1" applyBorder="1" applyAlignment="1"/>
    <xf numFmtId="0" fontId="8" fillId="3" borderId="0" xfId="0" applyFont="1" applyFill="1" applyBorder="1" applyAlignment="1"/>
    <xf numFmtId="3" fontId="5" fillId="9" borderId="0" xfId="0" applyNumberFormat="1" applyFont="1" applyFill="1" applyBorder="1" applyAlignment="1"/>
    <xf numFmtId="3" fontId="8" fillId="5" borderId="4" xfId="0" applyNumberFormat="1" applyFont="1" applyFill="1" applyBorder="1" applyAlignment="1">
      <alignment horizontal="center"/>
    </xf>
    <xf numFmtId="3" fontId="0" fillId="0" borderId="0" xfId="0" applyNumberFormat="1"/>
    <xf numFmtId="3" fontId="7" fillId="0" borderId="0" xfId="0" applyNumberFormat="1" applyFont="1"/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/>
    <xf numFmtId="175" fontId="5" fillId="0" borderId="0" xfId="0" applyNumberFormat="1" applyFont="1" applyFill="1" applyBorder="1" applyAlignment="1"/>
    <xf numFmtId="179" fontId="5" fillId="0" borderId="0" xfId="0" applyNumberFormat="1" applyFont="1" applyFill="1" applyBorder="1" applyAlignment="1"/>
    <xf numFmtId="0" fontId="2" fillId="0" borderId="0" xfId="0" applyFont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15" fillId="0" borderId="0" xfId="0" applyFont="1"/>
    <xf numFmtId="173" fontId="5" fillId="10" borderId="4" xfId="0" applyNumberFormat="1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/>
    <xf numFmtId="181" fontId="0" fillId="0" borderId="0" xfId="0" applyNumberFormat="1"/>
    <xf numFmtId="181" fontId="11" fillId="0" borderId="0" xfId="0" applyNumberFormat="1" applyFont="1"/>
    <xf numFmtId="16" fontId="11" fillId="0" borderId="0" xfId="0" applyNumberFormat="1" applyFont="1"/>
    <xf numFmtId="171" fontId="17" fillId="11" borderId="0" xfId="0" applyNumberFormat="1" applyFont="1" applyFill="1" applyAlignment="1" applyProtection="1">
      <alignment horizontal="center"/>
      <protection locked="0"/>
    </xf>
    <xf numFmtId="1" fontId="2" fillId="5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3" fontId="8" fillId="12" borderId="4" xfId="0" applyNumberFormat="1" applyFont="1" applyFill="1" applyBorder="1" applyAlignment="1">
      <alignment horizontal="center"/>
    </xf>
    <xf numFmtId="175" fontId="0" fillId="12" borderId="4" xfId="0" applyNumberFormat="1" applyFill="1" applyBorder="1" applyAlignment="1">
      <alignment horizontal="center"/>
    </xf>
    <xf numFmtId="178" fontId="0" fillId="12" borderId="4" xfId="0" applyNumberFormat="1" applyFill="1" applyBorder="1" applyAlignment="1">
      <alignment horizontal="center"/>
    </xf>
    <xf numFmtId="171" fontId="0" fillId="12" borderId="3" xfId="0" applyNumberFormat="1" applyFill="1" applyBorder="1" applyAlignment="1">
      <alignment horizontal="center"/>
    </xf>
    <xf numFmtId="176" fontId="0" fillId="12" borderId="4" xfId="0" applyNumberFormat="1" applyFill="1" applyBorder="1" applyAlignment="1">
      <alignment horizontal="center"/>
    </xf>
    <xf numFmtId="171" fontId="0" fillId="12" borderId="4" xfId="0" applyNumberFormat="1" applyFill="1" applyBorder="1" applyAlignment="1">
      <alignment horizontal="center"/>
    </xf>
    <xf numFmtId="0" fontId="16" fillId="0" borderId="0" xfId="0" applyFont="1"/>
    <xf numFmtId="0" fontId="15" fillId="0" borderId="0" xfId="0" applyFont="1" applyFill="1"/>
    <xf numFmtId="0" fontId="14" fillId="0" borderId="0" xfId="0" applyFont="1"/>
    <xf numFmtId="0" fontId="19" fillId="0" borderId="0" xfId="0" applyFont="1"/>
    <xf numFmtId="0" fontId="2" fillId="11" borderId="1" xfId="0" applyFont="1" applyFill="1" applyBorder="1" applyAlignment="1">
      <alignment horizontal="center"/>
    </xf>
    <xf numFmtId="175" fontId="0" fillId="11" borderId="2" xfId="0" applyNumberFormat="1" applyFill="1" applyBorder="1" applyAlignment="1">
      <alignment horizontal="center"/>
    </xf>
    <xf numFmtId="178" fontId="0" fillId="11" borderId="2" xfId="0" applyNumberFormat="1" applyFill="1" applyBorder="1" applyAlignment="1">
      <alignment horizontal="center"/>
    </xf>
    <xf numFmtId="175" fontId="0" fillId="11" borderId="3" xfId="0" applyNumberFormat="1" applyFill="1" applyBorder="1" applyAlignment="1">
      <alignment horizontal="center"/>
    </xf>
    <xf numFmtId="178" fontId="0" fillId="11" borderId="3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left"/>
    </xf>
    <xf numFmtId="3" fontId="5" fillId="3" borderId="2" xfId="0" applyNumberFormat="1" applyFont="1" applyFill="1" applyBorder="1" applyAlignment="1" applyProtection="1">
      <alignment horizontal="center"/>
      <protection locked="0"/>
    </xf>
    <xf numFmtId="3" fontId="5" fillId="14" borderId="5" xfId="0" applyNumberFormat="1" applyFont="1" applyFill="1" applyBorder="1" applyAlignment="1">
      <alignment horizontal="right"/>
    </xf>
    <xf numFmtId="3" fontId="2" fillId="15" borderId="3" xfId="0" applyNumberFormat="1" applyFont="1" applyFill="1" applyBorder="1"/>
    <xf numFmtId="3" fontId="5" fillId="16" borderId="4" xfId="0" applyNumberFormat="1" applyFont="1" applyFill="1" applyBorder="1" applyAlignment="1" applyProtection="1">
      <alignment horizontal="center"/>
      <protection locked="0"/>
    </xf>
    <xf numFmtId="3" fontId="5" fillId="10" borderId="6" xfId="0" applyNumberFormat="1" applyFont="1" applyFill="1" applyBorder="1" applyAlignment="1">
      <alignment horizontal="right"/>
    </xf>
    <xf numFmtId="3" fontId="2" fillId="13" borderId="3" xfId="0" applyNumberFormat="1" applyFont="1" applyFill="1" applyBorder="1"/>
    <xf numFmtId="3" fontId="5" fillId="3" borderId="3" xfId="0" applyNumberFormat="1" applyFont="1" applyFill="1" applyBorder="1" applyAlignment="1" applyProtection="1">
      <alignment horizontal="center"/>
      <protection locked="0"/>
    </xf>
    <xf numFmtId="3" fontId="5" fillId="14" borderId="7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center"/>
    </xf>
    <xf numFmtId="171" fontId="8" fillId="2" borderId="3" xfId="0" applyNumberFormat="1" applyFont="1" applyFill="1" applyBorder="1" applyAlignment="1" applyProtection="1">
      <alignment horizontal="center"/>
      <protection locked="0"/>
    </xf>
    <xf numFmtId="171" fontId="22" fillId="2" borderId="3" xfId="0" applyNumberFormat="1" applyFont="1" applyFill="1" applyBorder="1" applyAlignment="1" applyProtection="1">
      <alignment horizontal="center"/>
      <protection locked="0"/>
    </xf>
    <xf numFmtId="171" fontId="23" fillId="2" borderId="3" xfId="0" applyNumberFormat="1" applyFont="1" applyFill="1" applyBorder="1" applyAlignment="1" applyProtection="1">
      <alignment horizontal="center"/>
      <protection locked="0"/>
    </xf>
    <xf numFmtId="171" fontId="24" fillId="2" borderId="3" xfId="0" applyNumberFormat="1" applyFont="1" applyFill="1" applyBorder="1" applyAlignment="1" applyProtection="1">
      <alignment horizontal="center"/>
      <protection locked="0"/>
    </xf>
    <xf numFmtId="171" fontId="25" fillId="2" borderId="3" xfId="0" applyNumberFormat="1" applyFont="1" applyFill="1" applyBorder="1" applyAlignment="1" applyProtection="1">
      <alignment horizontal="center"/>
      <protection locked="0"/>
    </xf>
    <xf numFmtId="10" fontId="3" fillId="11" borderId="0" xfId="0" applyNumberFormat="1" applyFont="1" applyFill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3" fillId="0" borderId="0" xfId="0" applyFont="1" applyFill="1"/>
    <xf numFmtId="0" fontId="0" fillId="0" borderId="0" xfId="0" applyFill="1" applyBorder="1"/>
    <xf numFmtId="3" fontId="34" fillId="3" borderId="0" xfId="0" applyNumberFormat="1" applyFont="1" applyFill="1" applyBorder="1" applyAlignment="1"/>
    <xf numFmtId="0" fontId="0" fillId="17" borderId="0" xfId="0" applyFill="1"/>
    <xf numFmtId="4" fontId="35" fillId="2" borderId="0" xfId="0" applyNumberFormat="1" applyFont="1" applyFill="1"/>
    <xf numFmtId="4" fontId="35" fillId="17" borderId="0" xfId="0" applyNumberFormat="1" applyFont="1" applyFill="1"/>
    <xf numFmtId="10" fontId="20" fillId="12" borderId="8" xfId="0" applyNumberFormat="1" applyFont="1" applyFill="1" applyBorder="1"/>
    <xf numFmtId="10" fontId="20" fillId="12" borderId="9" xfId="0" applyNumberFormat="1" applyFont="1" applyFill="1" applyBorder="1"/>
    <xf numFmtId="0" fontId="3" fillId="0" borderId="0" xfId="0" applyFont="1" applyFill="1" applyBorder="1"/>
    <xf numFmtId="182" fontId="0" fillId="0" borderId="0" xfId="0" applyNumberFormat="1" applyFill="1" applyBorder="1"/>
    <xf numFmtId="0" fontId="0" fillId="18" borderId="10" xfId="0" applyFill="1" applyBorder="1"/>
    <xf numFmtId="0" fontId="2" fillId="0" borderId="0" xfId="0" applyFont="1" applyFill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0" fillId="18" borderId="11" xfId="0" applyFill="1" applyBorder="1"/>
    <xf numFmtId="0" fontId="0" fillId="18" borderId="12" xfId="0" applyFill="1" applyBorder="1"/>
    <xf numFmtId="0" fontId="0" fillId="18" borderId="13" xfId="0" applyFill="1" applyBorder="1"/>
    <xf numFmtId="0" fontId="11" fillId="18" borderId="10" xfId="0" applyFont="1" applyFill="1" applyBorder="1"/>
    <xf numFmtId="0" fontId="11" fillId="18" borderId="14" xfId="0" applyFont="1" applyFill="1" applyBorder="1"/>
    <xf numFmtId="0" fontId="2" fillId="18" borderId="15" xfId="0" applyFont="1" applyFill="1" applyBorder="1"/>
    <xf numFmtId="0" fontId="0" fillId="18" borderId="16" xfId="0" applyFill="1" applyBorder="1"/>
    <xf numFmtId="0" fontId="3" fillId="2" borderId="12" xfId="0" applyFont="1" applyFill="1" applyBorder="1" applyProtection="1">
      <protection locked="0"/>
    </xf>
    <xf numFmtId="182" fontId="0" fillId="2" borderId="12" xfId="0" applyNumberFormat="1" applyFill="1" applyBorder="1" applyProtection="1">
      <protection locked="0"/>
    </xf>
    <xf numFmtId="182" fontId="0" fillId="2" borderId="17" xfId="0" applyNumberFormat="1" applyFill="1" applyBorder="1" applyProtection="1">
      <protection locked="0"/>
    </xf>
    <xf numFmtId="0" fontId="3" fillId="11" borderId="8" xfId="0" applyFont="1" applyFill="1" applyBorder="1" applyProtection="1">
      <protection locked="0"/>
    </xf>
    <xf numFmtId="177" fontId="38" fillId="0" borderId="0" xfId="1" applyNumberFormat="1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176" fontId="37" fillId="0" borderId="0" xfId="0" applyNumberFormat="1" applyFont="1" applyAlignment="1" applyProtection="1">
      <alignment horizontal="center"/>
      <protection hidden="1"/>
    </xf>
    <xf numFmtId="176" fontId="0" fillId="0" borderId="0" xfId="0" applyNumberFormat="1" applyAlignment="1" applyProtection="1">
      <alignment horizontal="center"/>
      <protection hidden="1"/>
    </xf>
    <xf numFmtId="0" fontId="40" fillId="0" borderId="0" xfId="0" applyFont="1"/>
    <xf numFmtId="0" fontId="40" fillId="0" borderId="0" xfId="0" applyFont="1" applyFill="1"/>
    <xf numFmtId="0" fontId="41" fillId="0" borderId="0" xfId="0" applyFont="1" applyFill="1"/>
    <xf numFmtId="1" fontId="41" fillId="0" borderId="0" xfId="0" applyNumberFormat="1" applyFont="1" applyAlignment="1">
      <alignment horizontal="center"/>
    </xf>
    <xf numFmtId="3" fontId="41" fillId="0" borderId="0" xfId="0" applyNumberFormat="1" applyFont="1" applyAlignment="1">
      <alignment horizontal="center"/>
    </xf>
    <xf numFmtId="3" fontId="4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0" fillId="19" borderId="0" xfId="0" applyFont="1" applyFill="1" applyAlignment="1">
      <alignment horizontal="center" vertical="center"/>
    </xf>
    <xf numFmtId="0" fontId="31" fillId="11" borderId="0" xfId="0" applyFont="1" applyFill="1" applyAlignment="1" applyProtection="1">
      <alignment horizontal="center"/>
      <protection locked="0"/>
    </xf>
    <xf numFmtId="0" fontId="2" fillId="12" borderId="11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9" xfId="0" applyFont="1" applyFill="1" applyBorder="1" applyAlignment="1">
      <alignment horizontal="center"/>
    </xf>
    <xf numFmtId="4" fontId="0" fillId="12" borderId="20" xfId="0" applyNumberFormat="1" applyFill="1" applyBorder="1" applyAlignment="1">
      <alignment horizontal="center"/>
    </xf>
    <xf numFmtId="4" fontId="0" fillId="12" borderId="21" xfId="0" applyNumberFormat="1" applyFill="1" applyBorder="1" applyAlignment="1">
      <alignment horizontal="center"/>
    </xf>
    <xf numFmtId="4" fontId="0" fillId="12" borderId="22" xfId="0" applyNumberFormat="1" applyFill="1" applyBorder="1" applyAlignment="1">
      <alignment horizontal="center"/>
    </xf>
    <xf numFmtId="4" fontId="0" fillId="12" borderId="23" xfId="0" applyNumberFormat="1" applyFill="1" applyBorder="1" applyAlignment="1">
      <alignment horizontal="center"/>
    </xf>
    <xf numFmtId="169" fontId="3" fillId="20" borderId="16" xfId="0" applyNumberFormat="1" applyFont="1" applyFill="1" applyBorder="1" applyAlignment="1" applyProtection="1">
      <alignment horizontal="center"/>
      <protection locked="0"/>
    </xf>
    <xf numFmtId="169" fontId="3" fillId="20" borderId="24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 applyAlignment="1">
      <alignment horizontal="center"/>
    </xf>
    <xf numFmtId="0" fontId="18" fillId="21" borderId="0" xfId="0" applyFont="1" applyFill="1" applyAlignment="1">
      <alignment horizontal="center"/>
    </xf>
    <xf numFmtId="3" fontId="8" fillId="9" borderId="0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181" fontId="42" fillId="11" borderId="0" xfId="0" applyNumberFormat="1" applyFont="1" applyFill="1" applyAlignment="1" applyProtection="1">
      <alignment horizontal="center"/>
      <protection locked="0"/>
    </xf>
    <xf numFmtId="0" fontId="30" fillId="22" borderId="0" xfId="0" applyFont="1" applyFill="1" applyAlignment="1">
      <alignment horizontal="left"/>
    </xf>
    <xf numFmtId="0" fontId="0" fillId="22" borderId="0" xfId="0" applyFill="1"/>
    <xf numFmtId="14" fontId="39" fillId="22" borderId="0" xfId="0" applyNumberFormat="1" applyFont="1" applyFill="1" applyAlignment="1">
      <alignment horizontal="left"/>
    </xf>
    <xf numFmtId="0" fontId="3" fillId="22" borderId="0" xfId="0" applyFont="1" applyFill="1"/>
  </cellXfs>
  <cellStyles count="2">
    <cellStyle name="Euro" xfId="1"/>
    <cellStyle name="Standard" xfId="0" builtinId="0"/>
  </cellStyles>
  <dxfs count="36">
    <dxf>
      <font>
        <color rgb="FF92D050"/>
      </font>
    </dxf>
    <dxf>
      <font>
        <strike val="0"/>
        <condense val="0"/>
        <extend val="0"/>
        <color indexed="57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57"/>
      </font>
    </dxf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7"/>
      </font>
    </dxf>
    <dxf>
      <font>
        <b/>
        <i val="0"/>
        <strike val="0"/>
        <condense val="0"/>
        <extend val="0"/>
        <color indexed="10"/>
      </font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strike val="0"/>
        <condense val="0"/>
        <extend val="0"/>
        <color indexed="8"/>
      </font>
    </dxf>
    <dxf>
      <font>
        <b/>
        <i val="0"/>
        <strike val="0"/>
        <color rgb="FFFFFF00"/>
        <name val="Cambria"/>
        <scheme val="none"/>
      </font>
      <fill>
        <patternFill>
          <bgColor theme="4"/>
        </patternFill>
      </fill>
    </dxf>
    <dxf>
      <font>
        <b/>
        <i val="0"/>
        <strike val="0"/>
        <condense val="0"/>
        <extend val="0"/>
        <color indexed="57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7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Installations-Jahr</a:t>
            </a:r>
          </a:p>
        </c:rich>
      </c:tx>
      <c:layout>
        <c:manualLayout>
          <c:xMode val="edge"/>
          <c:yMode val="edge"/>
          <c:x val="0.4597222222222222"/>
          <c:y val="2.4691358024691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1.2906846240179574E-2"/>
          <c:w val="0.91388888888888886"/>
          <c:h val="0.92756824588845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Auswertung!$AF$2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Auswertung!$AE$3:$AE$14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Auswertung!$AF$3:$AF$14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0-4A00-A25F-BC776787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238008"/>
        <c:axId val="1"/>
      </c:barChart>
      <c:lineChart>
        <c:grouping val="standard"/>
        <c:varyColors val="0"/>
        <c:ser>
          <c:idx val="0"/>
          <c:order val="1"/>
          <c:tx>
            <c:strRef>
              <c:f>Auswertung!$AG$2</c:f>
              <c:strCache>
                <c:ptCount val="1"/>
                <c:pt idx="0">
                  <c:v>Soll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Auswertung!$AE$3:$AE$14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Grunddaten!$C$22:$N$22</c:f>
              <c:numCache>
                <c:formatCode>#,##0.0</c:formatCode>
                <c:ptCount val="12"/>
                <c:pt idx="0">
                  <c:v>128.25</c:v>
                </c:pt>
                <c:pt idx="1">
                  <c:v>203.3</c:v>
                </c:pt>
                <c:pt idx="2">
                  <c:v>358.625</c:v>
                </c:pt>
                <c:pt idx="3">
                  <c:v>502.07499999999999</c:v>
                </c:pt>
                <c:pt idx="4">
                  <c:v>656.92499999999995</c:v>
                </c:pt>
                <c:pt idx="5">
                  <c:v>671.17499999999995</c:v>
                </c:pt>
                <c:pt idx="6">
                  <c:v>709.65</c:v>
                </c:pt>
                <c:pt idx="7">
                  <c:v>616.07500000000005</c:v>
                </c:pt>
                <c:pt idx="8">
                  <c:v>421.80000000000007</c:v>
                </c:pt>
                <c:pt idx="9">
                  <c:v>247.95</c:v>
                </c:pt>
                <c:pt idx="10">
                  <c:v>136.80000000000001</c:v>
                </c:pt>
                <c:pt idx="11">
                  <c:v>97.375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0-4A00-A25F-BC776787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2238008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kWh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82238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majorGridlines/>
        <c:numFmt formatCode="#,##0.0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92D05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18485059068798"/>
          <c:y val="2.81214848143982E-2"/>
          <c:w val="6.9492703266157058E-2"/>
          <c:h val="7.31158605174353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b="1"/>
            </a:pPr>
            <a:r>
              <a:rPr lang="de-DE" b="1"/>
              <a:t>5-Jahres-Vergleich</a:t>
            </a:r>
          </a:p>
        </c:rich>
      </c:tx>
      <c:layout>
        <c:manualLayout>
          <c:xMode val="edge"/>
          <c:yMode val="edge"/>
          <c:x val="0.45782294400699913"/>
          <c:y val="2.4691358024691357E-2"/>
        </c:manualLayout>
      </c:layout>
      <c:overlay val="1"/>
      <c:spPr>
        <a:solidFill>
          <a:srgbClr val="FFFF00"/>
        </a:solidFill>
      </c:spPr>
    </c:title>
    <c:autoTitleDeleted val="0"/>
    <c:plotArea>
      <c:layout>
        <c:manualLayout>
          <c:layoutTarget val="inner"/>
          <c:xMode val="edge"/>
          <c:yMode val="edge"/>
          <c:x val="7.1129593175853018E-2"/>
          <c:y val="1.0662177328843996E-2"/>
          <c:w val="0.92887040682414701"/>
          <c:h val="0.936344901331777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Auswertung!$AJ$2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Auswertung!$AJ$3:$AJ$14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2-49BD-A43E-C6BEC91A803A}"/>
            </c:ext>
          </c:extLst>
        </c:ser>
        <c:ser>
          <c:idx val="0"/>
          <c:order val="1"/>
          <c:tx>
            <c:strRef>
              <c:f>Auswertung!$AK$2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Auswertung!$AK$3:$AK$14</c:f>
              <c:numCache>
                <c:formatCode>#,##0</c:formatCode>
                <c:ptCount val="12"/>
                <c:pt idx="0" formatCode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2-49BD-A43E-C6BEC91A803A}"/>
            </c:ext>
          </c:extLst>
        </c:ser>
        <c:ser>
          <c:idx val="7"/>
          <c:order val="2"/>
          <c:tx>
            <c:strRef>
              <c:f>Auswertung!$AL$2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Auswertung!$AL$3:$AL$14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E2-49BD-A43E-C6BEC91A803A}"/>
            </c:ext>
          </c:extLst>
        </c:ser>
        <c:ser>
          <c:idx val="8"/>
          <c:order val="3"/>
          <c:tx>
            <c:strRef>
              <c:f>Auswertung!$AM$2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Auswertung!$AM$3:$AM$14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E2-49BD-A43E-C6BEC91A803A}"/>
            </c:ext>
          </c:extLst>
        </c:ser>
        <c:ser>
          <c:idx val="9"/>
          <c:order val="4"/>
          <c:tx>
            <c:strRef>
              <c:f>Auswertung!$AN$2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Auswertung!$AN$3:$AN$14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E2-49BD-A43E-C6BEC91A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187648"/>
        <c:axId val="1"/>
      </c:barChart>
      <c:lineChart>
        <c:grouping val="standard"/>
        <c:varyColors val="0"/>
        <c:ser>
          <c:idx val="2"/>
          <c:order val="5"/>
          <c:tx>
            <c:strRef>
              <c:f>Auswertung!$BE$2</c:f>
              <c:strCache>
                <c:ptCount val="1"/>
                <c:pt idx="0">
                  <c:v>Soll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Auswertung!$BE$3:$BE$14</c:f>
              <c:numCache>
                <c:formatCode>General</c:formatCode>
                <c:ptCount val="12"/>
                <c:pt idx="0">
                  <c:v>128.25</c:v>
                </c:pt>
                <c:pt idx="1">
                  <c:v>203.3</c:v>
                </c:pt>
                <c:pt idx="2">
                  <c:v>358.625</c:v>
                </c:pt>
                <c:pt idx="3">
                  <c:v>502.07499999999999</c:v>
                </c:pt>
                <c:pt idx="4">
                  <c:v>656.92499999999995</c:v>
                </c:pt>
                <c:pt idx="5">
                  <c:v>671.17499999999995</c:v>
                </c:pt>
                <c:pt idx="6">
                  <c:v>709.65</c:v>
                </c:pt>
                <c:pt idx="7">
                  <c:v>616.07500000000005</c:v>
                </c:pt>
                <c:pt idx="8">
                  <c:v>421.80000000000007</c:v>
                </c:pt>
                <c:pt idx="9">
                  <c:v>247.95</c:v>
                </c:pt>
                <c:pt idx="10">
                  <c:v>136.80000000000001</c:v>
                </c:pt>
                <c:pt idx="11">
                  <c:v>97.375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E2-49BD-A43E-C6BEC91A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187648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kWh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5622895622895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87187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92D05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869353717859625"/>
          <c:y val="2.4746906636670417E-2"/>
          <c:w val="6.9492703266157058E-2"/>
          <c:h val="0.25759280089988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b="1"/>
            </a:pPr>
            <a:r>
              <a:rPr lang="de-DE" b="1"/>
              <a:t>10-Jahres-Vergleich</a:t>
            </a:r>
          </a:p>
        </c:rich>
      </c:tx>
      <c:layout>
        <c:manualLayout>
          <c:xMode val="edge"/>
          <c:yMode val="edge"/>
          <c:x val="0.44207633420822395"/>
          <c:y val="2.2446689113355778E-2"/>
        </c:manualLayout>
      </c:layout>
      <c:overlay val="1"/>
      <c:spPr>
        <a:solidFill>
          <a:srgbClr val="FFFF00"/>
        </a:solidFill>
      </c:spPr>
    </c:title>
    <c:autoTitleDeleted val="0"/>
    <c:plotArea>
      <c:layout>
        <c:manualLayout>
          <c:layoutTarget val="inner"/>
          <c:xMode val="edge"/>
          <c:yMode val="edge"/>
          <c:x val="6.3194444444444442E-2"/>
          <c:y val="1.2906846240179574E-2"/>
          <c:w val="0.93680555555555556"/>
          <c:h val="0.92756824588845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Auswertung!$AJ$2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Auswertung!$AJ$3:$AJ$14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7-4678-AFE4-A268F1812A07}"/>
            </c:ext>
          </c:extLst>
        </c:ser>
        <c:ser>
          <c:idx val="0"/>
          <c:order val="1"/>
          <c:tx>
            <c:strRef>
              <c:f>Auswertung!$AK$2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Auswertung!$AK$3:$AK$14</c:f>
              <c:numCache>
                <c:formatCode>#,##0</c:formatCode>
                <c:ptCount val="12"/>
                <c:pt idx="0" formatCode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7-4678-AFE4-A268F1812A07}"/>
            </c:ext>
          </c:extLst>
        </c:ser>
        <c:ser>
          <c:idx val="12"/>
          <c:order val="2"/>
          <c:tx>
            <c:strRef>
              <c:f>Auswertung!$AL$2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Auswertung!$AL$3:$AL$14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7-4678-AFE4-A268F1812A07}"/>
            </c:ext>
          </c:extLst>
        </c:ser>
        <c:ser>
          <c:idx val="13"/>
          <c:order val="3"/>
          <c:tx>
            <c:strRef>
              <c:f>Auswertung!$AM$2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Auswertung!$AM$3:$AM$14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97-4678-AFE4-A268F1812A07}"/>
            </c:ext>
          </c:extLst>
        </c:ser>
        <c:ser>
          <c:idx val="14"/>
          <c:order val="4"/>
          <c:tx>
            <c:strRef>
              <c:f>Auswertung!$AN$2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Auswertung!$AN$3:$AN$14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7-4678-AFE4-A268F1812A07}"/>
            </c:ext>
          </c:extLst>
        </c:ser>
        <c:ser>
          <c:idx val="15"/>
          <c:order val="5"/>
          <c:tx>
            <c:strRef>
              <c:f>Auswertung!$AO$2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Auswertung!$AO$3:$AO$14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97-4678-AFE4-A268F1812A07}"/>
            </c:ext>
          </c:extLst>
        </c:ser>
        <c:ser>
          <c:idx val="16"/>
          <c:order val="6"/>
          <c:tx>
            <c:strRef>
              <c:f>Auswertung!$AP$2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Auswertung!$AP$3:$AP$14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97-4678-AFE4-A268F1812A07}"/>
            </c:ext>
          </c:extLst>
        </c:ser>
        <c:ser>
          <c:idx val="17"/>
          <c:order val="7"/>
          <c:tx>
            <c:strRef>
              <c:f>Auswertung!$AQ$2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Auswertung!$AQ$3:$AQ$14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97-4678-AFE4-A268F1812A07}"/>
            </c:ext>
          </c:extLst>
        </c:ser>
        <c:ser>
          <c:idx val="18"/>
          <c:order val="8"/>
          <c:tx>
            <c:strRef>
              <c:f>Auswertung!$AR$2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Auswertung!$AR$3:$AR$14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7-4678-AFE4-A268F1812A07}"/>
            </c:ext>
          </c:extLst>
        </c:ser>
        <c:ser>
          <c:idx val="19"/>
          <c:order val="9"/>
          <c:tx>
            <c:strRef>
              <c:f>Auswertung!$AS$2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Auswertung!$AS$3:$AS$14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97-4678-AFE4-A268F1812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59696"/>
        <c:axId val="1"/>
      </c:barChart>
      <c:lineChart>
        <c:grouping val="standard"/>
        <c:varyColors val="0"/>
        <c:ser>
          <c:idx val="10"/>
          <c:order val="10"/>
          <c:tx>
            <c:strRef>
              <c:f>Auswertung!$BM$2</c:f>
              <c:strCache>
                <c:ptCount val="1"/>
                <c:pt idx="0">
                  <c:v>Soll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Auswertung!$BM$3:$BM$14</c:f>
              <c:numCache>
                <c:formatCode>General</c:formatCode>
                <c:ptCount val="12"/>
                <c:pt idx="0">
                  <c:v>125.20412581143489</c:v>
                </c:pt>
                <c:pt idx="1">
                  <c:v>198.47172536034859</c:v>
                </c:pt>
                <c:pt idx="2">
                  <c:v>350.10783328753092</c:v>
                </c:pt>
                <c:pt idx="3">
                  <c:v>490.15096660254324</c:v>
                </c:pt>
                <c:pt idx="4">
                  <c:v>641.32335554523877</c:v>
                </c:pt>
                <c:pt idx="5">
                  <c:v>655.23492507984258</c:v>
                </c:pt>
                <c:pt idx="6">
                  <c:v>692.79616282327299</c:v>
                </c:pt>
                <c:pt idx="7">
                  <c:v>601.44352287937443</c:v>
                </c:pt>
                <c:pt idx="8">
                  <c:v>411.78245822427488</c:v>
                </c:pt>
                <c:pt idx="9">
                  <c:v>242.06130990210741</c:v>
                </c:pt>
                <c:pt idx="10">
                  <c:v>133.55106753219718</c:v>
                </c:pt>
                <c:pt idx="11">
                  <c:v>95.062391819793149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097-4678-AFE4-A268F1812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2659696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b="1"/>
                  <a:t>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92659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92D05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730368311327315"/>
          <c:y val="1.799775028121485E-2"/>
          <c:w val="6.9492703266157058E-2"/>
          <c:h val="0.358830146231721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b="1"/>
            </a:pPr>
            <a:r>
              <a:rPr lang="de-DE" b="1"/>
              <a:t>20-Jahres-Vergleich</a:t>
            </a:r>
          </a:p>
        </c:rich>
      </c:tx>
      <c:layout>
        <c:manualLayout>
          <c:xMode val="edge"/>
          <c:yMode val="edge"/>
          <c:x val="0.44949300087489064"/>
          <c:y val="2.2446689113355778E-2"/>
        </c:manualLayout>
      </c:layout>
      <c:overlay val="1"/>
      <c:spPr>
        <a:solidFill>
          <a:srgbClr val="FFFF00"/>
        </a:solidFill>
      </c:spPr>
    </c:title>
    <c:autoTitleDeleted val="0"/>
    <c:plotArea>
      <c:layout>
        <c:manualLayout>
          <c:layoutTarget val="inner"/>
          <c:xMode val="edge"/>
          <c:yMode val="edge"/>
          <c:x val="6.5972222222222224E-2"/>
          <c:y val="1.0319821133469428E-2"/>
          <c:w val="0.93402777777777779"/>
          <c:h val="0.936687257527152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Auswertung!$AJ$2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Auswertung!$AJ$3:$AJ$14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E-4F4C-94FB-5F98E92B5DCD}"/>
            </c:ext>
          </c:extLst>
        </c:ser>
        <c:ser>
          <c:idx val="0"/>
          <c:order val="1"/>
          <c:tx>
            <c:strRef>
              <c:f>Auswertung!$AK$2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Auswertung!$AK$3:$AK$14</c:f>
              <c:numCache>
                <c:formatCode>#,##0</c:formatCode>
                <c:ptCount val="12"/>
                <c:pt idx="0" formatCode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E-4F4C-94FB-5F98E92B5DCD}"/>
            </c:ext>
          </c:extLst>
        </c:ser>
        <c:ser>
          <c:idx val="22"/>
          <c:order val="2"/>
          <c:tx>
            <c:strRef>
              <c:f>Auswertung!$AL$2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Auswertung!$AL$3:$AL$14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E-4F4C-94FB-5F98E92B5DCD}"/>
            </c:ext>
          </c:extLst>
        </c:ser>
        <c:ser>
          <c:idx val="23"/>
          <c:order val="3"/>
          <c:tx>
            <c:strRef>
              <c:f>Auswertung!$AM$2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Auswertung!$AM$3:$AM$14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0E-4F4C-94FB-5F98E92B5DCD}"/>
            </c:ext>
          </c:extLst>
        </c:ser>
        <c:ser>
          <c:idx val="24"/>
          <c:order val="4"/>
          <c:tx>
            <c:strRef>
              <c:f>Auswertung!$AN$2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Auswertung!$AN$3:$AN$14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0E-4F4C-94FB-5F98E92B5DCD}"/>
            </c:ext>
          </c:extLst>
        </c:ser>
        <c:ser>
          <c:idx val="25"/>
          <c:order val="5"/>
          <c:tx>
            <c:strRef>
              <c:f>Auswertung!$AO$2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Auswertung!$AO$3:$AO$14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0E-4F4C-94FB-5F98E92B5DCD}"/>
            </c:ext>
          </c:extLst>
        </c:ser>
        <c:ser>
          <c:idx val="26"/>
          <c:order val="6"/>
          <c:tx>
            <c:strRef>
              <c:f>Auswertung!$AP$2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Auswertung!$AP$3:$AP$14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0E-4F4C-94FB-5F98E92B5DCD}"/>
            </c:ext>
          </c:extLst>
        </c:ser>
        <c:ser>
          <c:idx val="27"/>
          <c:order val="7"/>
          <c:tx>
            <c:strRef>
              <c:f>Auswertung!$AQ$2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Auswertung!$AQ$3:$AQ$14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0E-4F4C-94FB-5F98E92B5DCD}"/>
            </c:ext>
          </c:extLst>
        </c:ser>
        <c:ser>
          <c:idx val="28"/>
          <c:order val="8"/>
          <c:tx>
            <c:strRef>
              <c:f>Auswertung!$AR$2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Auswertung!$AR$3:$AR$14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0E-4F4C-94FB-5F98E92B5DCD}"/>
            </c:ext>
          </c:extLst>
        </c:ser>
        <c:ser>
          <c:idx val="29"/>
          <c:order val="9"/>
          <c:tx>
            <c:strRef>
              <c:f>Auswertung!$AS$2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Auswertung!$AS$3:$AS$14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E-4F4C-94FB-5F98E92B5DCD}"/>
            </c:ext>
          </c:extLst>
        </c:ser>
        <c:ser>
          <c:idx val="30"/>
          <c:order val="10"/>
          <c:tx>
            <c:strRef>
              <c:f>Auswertung!$AT$2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Auswertung!$AT$3:$AT$14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0E-4F4C-94FB-5F98E92B5DCD}"/>
            </c:ext>
          </c:extLst>
        </c:ser>
        <c:ser>
          <c:idx val="31"/>
          <c:order val="11"/>
          <c:tx>
            <c:strRef>
              <c:f>Auswertung!$AU$2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Auswertung!$AU$3:$AU$14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0E-4F4C-94FB-5F98E92B5DCD}"/>
            </c:ext>
          </c:extLst>
        </c:ser>
        <c:ser>
          <c:idx val="32"/>
          <c:order val="12"/>
          <c:tx>
            <c:strRef>
              <c:f>Auswertung!$AV$2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Auswertung!$AV$3:$AV$14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0E-4F4C-94FB-5F98E92B5DCD}"/>
            </c:ext>
          </c:extLst>
        </c:ser>
        <c:ser>
          <c:idx val="33"/>
          <c:order val="13"/>
          <c:tx>
            <c:strRef>
              <c:f>Auswertung!$AW$2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Auswertung!$AW$3:$AW$14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0E-4F4C-94FB-5F98E92B5DCD}"/>
            </c:ext>
          </c:extLst>
        </c:ser>
        <c:ser>
          <c:idx val="34"/>
          <c:order val="14"/>
          <c:tx>
            <c:strRef>
              <c:f>Auswertung!$AX$2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Auswertung!$AX$3:$AX$14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0E-4F4C-94FB-5F98E92B5DCD}"/>
            </c:ext>
          </c:extLst>
        </c:ser>
        <c:ser>
          <c:idx val="35"/>
          <c:order val="15"/>
          <c:tx>
            <c:strRef>
              <c:f>Auswertung!$AY$2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rgbClr val="33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Auswertung!$AY$3:$AY$14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C0E-4F4C-94FB-5F98E92B5DCD}"/>
            </c:ext>
          </c:extLst>
        </c:ser>
        <c:ser>
          <c:idx val="36"/>
          <c:order val="16"/>
          <c:tx>
            <c:strRef>
              <c:f>Auswertung!$AZ$2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Auswertung!$AZ$3:$AZ$14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C0E-4F4C-94FB-5F98E92B5DCD}"/>
            </c:ext>
          </c:extLst>
        </c:ser>
        <c:ser>
          <c:idx val="37"/>
          <c:order val="17"/>
          <c:tx>
            <c:strRef>
              <c:f>Auswertung!$BA$2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Auswertung!$BA$3:$BA$14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C0E-4F4C-94FB-5F98E92B5DCD}"/>
            </c:ext>
          </c:extLst>
        </c:ser>
        <c:ser>
          <c:idx val="38"/>
          <c:order val="18"/>
          <c:tx>
            <c:strRef>
              <c:f>Auswertung!$BB$2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Auswertung!$BB$3:$BB$14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C0E-4F4C-94FB-5F98E92B5DCD}"/>
            </c:ext>
          </c:extLst>
        </c:ser>
        <c:ser>
          <c:idx val="39"/>
          <c:order val="19"/>
          <c:tx>
            <c:strRef>
              <c:f>Auswertung!$BC$2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Auswertung!$BC$3:$BC$14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C0E-4F4C-94FB-5F98E92B5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184040"/>
        <c:axId val="1"/>
      </c:barChart>
      <c:lineChart>
        <c:grouping val="standard"/>
        <c:varyColors val="0"/>
        <c:ser>
          <c:idx val="20"/>
          <c:order val="20"/>
          <c:tx>
            <c:strRef>
              <c:f>Auswertung!$BW$2</c:f>
              <c:strCache>
                <c:ptCount val="1"/>
                <c:pt idx="0">
                  <c:v>Soll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Auswertung!$AI$3:$AI$14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Auswertung!$BW$3:$BW$14</c:f>
              <c:numCache>
                <c:formatCode>General</c:formatCode>
                <c:ptCount val="12"/>
                <c:pt idx="0">
                  <c:v>121.49830616875214</c:v>
                </c:pt>
                <c:pt idx="1">
                  <c:v>192.59731496379968</c:v>
                </c:pt>
                <c:pt idx="2">
                  <c:v>339.74526354595514</c:v>
                </c:pt>
                <c:pt idx="3">
                  <c:v>475.64336896433707</c:v>
                </c:pt>
                <c:pt idx="4">
                  <c:v>622.34132381994175</c:v>
                </c:pt>
                <c:pt idx="5">
                  <c:v>635.84113561646961</c:v>
                </c:pt>
                <c:pt idx="6">
                  <c:v>672.29062746709519</c:v>
                </c:pt>
                <c:pt idx="7">
                  <c:v>583.64186333656153</c:v>
                </c:pt>
                <c:pt idx="8">
                  <c:v>399.59442917722942</c:v>
                </c:pt>
                <c:pt idx="9">
                  <c:v>234.8967252595875</c:v>
                </c:pt>
                <c:pt idx="10">
                  <c:v>129.59819324666896</c:v>
                </c:pt>
                <c:pt idx="11">
                  <c:v>92.24871394294145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C0E-4F4C-94FB-5F98E92B5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184040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 b="1"/>
                  <a:t>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87184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chemeClr val="bg2">
            <a:lumMod val="9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0"/>
        <c:delete val="1"/>
      </c:legendEntry>
      <c:layout>
        <c:manualLayout>
          <c:xMode val="edge"/>
          <c:yMode val="edge"/>
          <c:x val="0.86726893676164007"/>
          <c:y val="2.2497187851518559E-2"/>
          <c:w val="0.12091730368311328"/>
          <c:h val="0.40382452193475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>
    <tabColor indexed="43"/>
  </sheetPr>
  <sheetViews>
    <sheetView zoomScale="120" workbookViewId="0"/>
  </sheetViews>
  <sheetProtection password="C7FA" content="1" objects="1"/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5">
    <tabColor indexed="43"/>
  </sheetPr>
  <sheetViews>
    <sheetView zoomScale="120" workbookViewId="0"/>
  </sheetViews>
  <sheetProtection password="C7FA" content="1" objects="1"/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6">
    <tabColor indexed="43"/>
  </sheetPr>
  <sheetViews>
    <sheetView zoomScale="120" workbookViewId="0"/>
  </sheetViews>
  <sheetProtection password="C7FA" content="1" objects="1"/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>
    <tabColor indexed="43"/>
  </sheetPr>
  <sheetViews>
    <sheetView zoomScale="120" workbookViewId="0"/>
  </sheetViews>
  <sheetProtection password="C7FA" content="1" objects="1"/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</xdr:colOff>
      <xdr:row>47</xdr:row>
      <xdr:rowOff>137583</xdr:rowOff>
    </xdr:from>
    <xdr:to>
      <xdr:col>16</xdr:col>
      <xdr:colOff>15875</xdr:colOff>
      <xdr:row>50</xdr:row>
      <xdr:rowOff>10583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BAC622-AED8-318E-9105-8FA4851EA3F3}"/>
            </a:ext>
          </a:extLst>
        </xdr:cNvPr>
        <xdr:cNvSpPr txBox="1"/>
      </xdr:nvSpPr>
      <xdr:spPr>
        <a:xfrm>
          <a:off x="963083" y="7842250"/>
          <a:ext cx="9334500" cy="3492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/>
            <a:t>Für Fehler wird keine Haftung übernommen!!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8708" cy="564620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1013C66-F494-343B-3041-1B8E7758F6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8708" cy="564620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92D7044-556E-E1CA-6D23-FDF3CE6ADA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8708" cy="564620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368D00-E690-B722-75D1-58E9B47714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8708" cy="564620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7E7228-5675-9AEE-E94F-7EC7B13507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indexed="10"/>
  </sheetPr>
  <dimension ref="A1:R47"/>
  <sheetViews>
    <sheetView showZeros="0" tabSelected="1" zoomScale="120" zoomScaleNormal="120" workbookViewId="0">
      <selection activeCell="C20" sqref="C20"/>
    </sheetView>
  </sheetViews>
  <sheetFormatPr baseColWidth="10" defaultRowHeight="12.5"/>
  <cols>
    <col min="1" max="1" width="13.7265625" customWidth="1"/>
    <col min="2" max="2" width="6.7265625" customWidth="1"/>
    <col min="3" max="3" width="8.7265625" customWidth="1"/>
    <col min="4" max="4" width="10" bestFit="1" customWidth="1"/>
    <col min="5" max="6" width="8.7265625" customWidth="1"/>
    <col min="7" max="7" width="11.1796875" bestFit="1" customWidth="1"/>
    <col min="8" max="13" width="8.7265625" customWidth="1"/>
    <col min="14" max="14" width="8.7265625" style="1" customWidth="1"/>
    <col min="15" max="15" width="9.7265625" customWidth="1"/>
    <col min="16" max="16" width="8.7265625" customWidth="1"/>
  </cols>
  <sheetData>
    <row r="1" spans="1:18">
      <c r="A1" s="134" t="s">
        <v>100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8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s="95" customFormat="1" ht="15" customHeight="1">
      <c r="A3" s="135" t="s">
        <v>101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77"/>
      <c r="O4" s="20"/>
      <c r="P4" s="20"/>
    </row>
    <row r="5" spans="1:18" ht="13">
      <c r="A5" s="107"/>
      <c r="B5" s="97"/>
      <c r="C5" s="97"/>
      <c r="D5" s="108"/>
      <c r="E5" s="107"/>
      <c r="G5" s="58">
        <v>30</v>
      </c>
      <c r="H5" s="4" t="s">
        <v>84</v>
      </c>
    </row>
    <row r="6" spans="1:18" ht="13.5" thickBot="1">
      <c r="A6" s="136" t="s">
        <v>102</v>
      </c>
      <c r="B6" s="137"/>
      <c r="C6" s="138" t="s">
        <v>103</v>
      </c>
      <c r="D6" s="139"/>
    </row>
    <row r="7" spans="1:18" ht="13">
      <c r="A7" s="106" t="s">
        <v>104</v>
      </c>
      <c r="B7" s="116">
        <v>5</v>
      </c>
      <c r="C7" s="117">
        <v>0.46820000000000001</v>
      </c>
      <c r="D7" s="118">
        <v>0.51800000000000002</v>
      </c>
      <c r="M7" s="97"/>
      <c r="N7" s="104"/>
      <c r="O7" s="105"/>
      <c r="P7" s="105"/>
    </row>
    <row r="8" spans="1:18" ht="13.5" thickBot="1">
      <c r="A8" s="109" t="s">
        <v>105</v>
      </c>
      <c r="B8" s="119">
        <v>950</v>
      </c>
      <c r="C8" s="102">
        <f>IF(B7&gt;30,(B7-30)/B7,0)</f>
        <v>0</v>
      </c>
      <c r="D8" s="103">
        <f>IF(B7&gt;30,30/B7,1)</f>
        <v>1</v>
      </c>
      <c r="M8" s="97"/>
      <c r="N8" s="104"/>
      <c r="O8" s="105"/>
      <c r="P8" s="105"/>
    </row>
    <row r="9" spans="1:18" ht="13">
      <c r="A9" s="112" t="s">
        <v>1</v>
      </c>
      <c r="B9" s="110"/>
      <c r="C9" s="140">
        <f>B7*$B$8</f>
        <v>4750</v>
      </c>
      <c r="D9" s="141"/>
      <c r="E9" s="4" t="s">
        <v>6</v>
      </c>
      <c r="M9" s="97"/>
      <c r="N9" s="104"/>
      <c r="O9" s="105"/>
      <c r="P9" s="105"/>
    </row>
    <row r="10" spans="1:18" ht="13.5" thickBot="1">
      <c r="A10" s="113" t="s">
        <v>5</v>
      </c>
      <c r="B10" s="111"/>
      <c r="C10" s="142">
        <f>C9*C7*C8+C9*D$7*D$8</f>
        <v>2460.5</v>
      </c>
      <c r="D10" s="143"/>
      <c r="E10" s="4" t="s">
        <v>3</v>
      </c>
      <c r="M10" s="97"/>
      <c r="N10" s="104"/>
      <c r="O10" s="105"/>
      <c r="P10" s="105"/>
    </row>
    <row r="11" spans="1:18" ht="13.5" thickBot="1">
      <c r="A11" s="114" t="s">
        <v>2</v>
      </c>
      <c r="B11" s="115"/>
      <c r="C11" s="144">
        <f>C10/Jahres_Soll</f>
        <v>0.51800000000000002</v>
      </c>
      <c r="D11" s="145"/>
      <c r="E11" s="4" t="s">
        <v>3</v>
      </c>
      <c r="G11" s="153"/>
      <c r="H11" s="153"/>
      <c r="I11" s="153"/>
      <c r="J11" s="153"/>
      <c r="K11" s="153"/>
      <c r="Q11" s="56"/>
      <c r="R11" s="53"/>
    </row>
    <row r="12" spans="1:18" ht="18">
      <c r="G12" s="151">
        <v>40179</v>
      </c>
      <c r="H12" s="152" t="s">
        <v>85</v>
      </c>
      <c r="I12" s="153"/>
      <c r="J12" s="153"/>
      <c r="K12" s="153"/>
      <c r="Q12" s="55"/>
    </row>
    <row r="13" spans="1:18" ht="13">
      <c r="A13" s="4" t="s">
        <v>98</v>
      </c>
      <c r="D13" s="94">
        <v>3.0000000000000001E-3</v>
      </c>
      <c r="E13" s="4" t="s">
        <v>41</v>
      </c>
      <c r="G13" s="154"/>
      <c r="H13" s="155"/>
      <c r="I13" s="153"/>
      <c r="J13" s="153"/>
      <c r="K13" s="153"/>
      <c r="Q13" s="57"/>
    </row>
    <row r="14" spans="1:18">
      <c r="Q14" s="54"/>
    </row>
    <row r="15" spans="1:18" ht="13">
      <c r="A15" s="4"/>
      <c r="F15" s="133" t="s">
        <v>87</v>
      </c>
      <c r="G15" s="133"/>
      <c r="M15" s="1"/>
      <c r="N15"/>
    </row>
    <row r="17" spans="1:16" ht="13">
      <c r="G17" s="59">
        <f>DATE(YEAR(G12),12,31)-G$12+1</f>
        <v>365</v>
      </c>
      <c r="H17" s="4" t="s">
        <v>86</v>
      </c>
    </row>
    <row r="18" spans="1:16">
      <c r="C18" s="121">
        <v>31</v>
      </c>
      <c r="D18" s="121">
        <v>28</v>
      </c>
      <c r="E18" s="121">
        <v>31</v>
      </c>
      <c r="F18" s="121">
        <v>30</v>
      </c>
      <c r="G18" s="121">
        <v>31</v>
      </c>
      <c r="H18" s="121">
        <v>30</v>
      </c>
      <c r="I18" s="121">
        <v>31</v>
      </c>
      <c r="J18" s="121">
        <v>31</v>
      </c>
      <c r="K18" s="121">
        <v>30</v>
      </c>
      <c r="L18" s="121">
        <v>31</v>
      </c>
      <c r="M18" s="121">
        <v>30</v>
      </c>
      <c r="N18" s="122">
        <v>31</v>
      </c>
    </row>
    <row r="19" spans="1:16" ht="13">
      <c r="C19">
        <v>1</v>
      </c>
      <c r="D19">
        <v>2</v>
      </c>
      <c r="E19">
        <v>3</v>
      </c>
      <c r="F19">
        <v>4</v>
      </c>
      <c r="G19">
        <v>5</v>
      </c>
      <c r="H19">
        <v>6</v>
      </c>
      <c r="I19">
        <v>7</v>
      </c>
      <c r="J19">
        <v>8</v>
      </c>
      <c r="K19">
        <v>9</v>
      </c>
      <c r="L19">
        <v>10</v>
      </c>
      <c r="M19">
        <v>11</v>
      </c>
      <c r="N19" s="1">
        <v>12</v>
      </c>
      <c r="O19" s="18" t="s">
        <v>38</v>
      </c>
    </row>
    <row r="20" spans="1:16" ht="13">
      <c r="A20" s="4" t="s">
        <v>37</v>
      </c>
      <c r="C20" s="89">
        <v>2.7</v>
      </c>
      <c r="D20" s="89">
        <v>4.28</v>
      </c>
      <c r="E20" s="89">
        <v>7.55</v>
      </c>
      <c r="F20" s="89">
        <v>10.57</v>
      </c>
      <c r="G20" s="89">
        <v>13.83</v>
      </c>
      <c r="H20" s="89">
        <v>14.13</v>
      </c>
      <c r="I20" s="89">
        <v>14.94</v>
      </c>
      <c r="J20" s="89">
        <v>12.97</v>
      </c>
      <c r="K20" s="90">
        <v>8.8800000000000008</v>
      </c>
      <c r="L20" s="91">
        <v>5.22</v>
      </c>
      <c r="M20" s="92">
        <v>2.88</v>
      </c>
      <c r="N20" s="93">
        <v>2.0499999999999998</v>
      </c>
      <c r="O20" s="18">
        <f>SUM(C20:N20)</f>
        <v>99.999999999999986</v>
      </c>
    </row>
    <row r="21" spans="1:16" ht="13">
      <c r="A21" s="4" t="s">
        <v>36</v>
      </c>
      <c r="C21" s="124">
        <f>Jahres_Soll*Jan_Prozent/100</f>
        <v>128.25</v>
      </c>
      <c r="D21" s="124">
        <f>Jahres_Soll*Feb_Prozent/100</f>
        <v>203.3</v>
      </c>
      <c r="E21" s="124">
        <f>Jahres_Soll*Mrz_Prozent/100</f>
        <v>358.625</v>
      </c>
      <c r="F21" s="124">
        <f>Jahres_Soll*Apr_Prozent/100</f>
        <v>502.07499999999999</v>
      </c>
      <c r="G21" s="124">
        <f>Jahres_Soll*Mai_Prozent/100</f>
        <v>656.92499999999995</v>
      </c>
      <c r="H21" s="124">
        <f>Jahres_Soll*Jun_Prozent/100</f>
        <v>671.17499999999995</v>
      </c>
      <c r="I21" s="124">
        <f>Jahres_Soll*Jul_Prozent/100</f>
        <v>709.65</v>
      </c>
      <c r="J21" s="124">
        <f>Jahres_Soll*Aug_Prozent/100</f>
        <v>616.07500000000005</v>
      </c>
      <c r="K21" s="124">
        <f>Jahres_Soll*Sep_Prozent/100</f>
        <v>421.80000000000007</v>
      </c>
      <c r="L21" s="124">
        <f>Jahres_Soll*Okt_Prozent/100</f>
        <v>247.95</v>
      </c>
      <c r="M21" s="124">
        <f>Jahres_Soll*Nov_Prozent/100</f>
        <v>136.80000000000001</v>
      </c>
      <c r="N21" s="124">
        <f>Jahres_Soll*Dez_Prozent/100</f>
        <v>97.375</v>
      </c>
      <c r="O21" s="19">
        <f>SUM(C21:N21)</f>
        <v>4750</v>
      </c>
    </row>
    <row r="22" spans="1:16" ht="13">
      <c r="A22" s="4" t="s">
        <v>99</v>
      </c>
      <c r="C22" s="123">
        <f>IF(MONTH($G$12)&gt;C19,0,IF(MONTH($G$12)=C19,C21*(C18+1-DAY($G$12))/C18,C21))</f>
        <v>128.25</v>
      </c>
      <c r="D22" s="123">
        <f>IF(MONTH($G$12)&gt;D19,0,IF(MONTH($G$12)=D19,D21*(D18+1-DAY($G$12))/D18,D21))</f>
        <v>203.3</v>
      </c>
      <c r="E22" s="123">
        <f>IF(MONTH($G$12)&gt;E19,0,IF(MONTH($G$12)=E19,E21*(E18+1-DAY($G$12))/E18,E21))</f>
        <v>358.625</v>
      </c>
      <c r="F22" s="123">
        <f>IF(MONTH($G$12)&gt;F19,0,IF(MONTH($G$12)=F19,F21*(F18+1-DAY($G$12))/F18,F21))</f>
        <v>502.07499999999999</v>
      </c>
      <c r="G22" s="123">
        <f>IF(MONTH($G$12)&gt;G19,0,IF(MONTH($G$12)=G19,G21*(G18+1-DAY($G$12))/G18,G21))</f>
        <v>656.92499999999995</v>
      </c>
      <c r="H22" s="123">
        <f>IF(MONTH($G$12)&gt;H19,0,IF(MONTH($G$12)=H19,H21*(H18+1-DAY($G$12))/H18,H21))</f>
        <v>671.17499999999995</v>
      </c>
      <c r="I22" s="123">
        <f>IF(MONTH($G$12)&gt;I19,0,IF(MONTH($G$12)=I19,I21*(I18+1-DAY($G$12))/I18,I21))</f>
        <v>709.65</v>
      </c>
      <c r="J22" s="123">
        <f>IF(MONTH($G$12)&gt;J19,0,IF(MONTH($G$12)=J19,J21*(J18+1-DAY($G$12))/J18,J21))</f>
        <v>616.07500000000005</v>
      </c>
      <c r="K22" s="123">
        <f>IF(MONTH($G$12)&gt;K19,0,IF(MONTH($G$12)=K19,K21*(K18+1-DAY($G$12))/K18,K21))</f>
        <v>421.80000000000007</v>
      </c>
      <c r="L22" s="123">
        <f>IF(MONTH($G$12)&gt;L19,0,IF(MONTH($G$12)=L19,L21*(L18+1-DAY($G$12))/L18,L21))</f>
        <v>247.95</v>
      </c>
      <c r="M22" s="123">
        <f>IF(MONTH($G$12)&gt;M19,0,IF(MONTH($G$12)=M19,M21*(M18+1-DAY($G$12))/M18,M21))</f>
        <v>136.80000000000001</v>
      </c>
      <c r="N22" s="123">
        <f>IF(MONTH($G$12)&gt;N19,0,IF(MONTH($G$12)=N19,N21*(N18+1-DAY($G$12))/N18,N21))</f>
        <v>97.375</v>
      </c>
      <c r="O22" s="120">
        <f>SUM(C22:N22)</f>
        <v>4750</v>
      </c>
    </row>
    <row r="23" spans="1:16" ht="13">
      <c r="C23" s="131" t="s">
        <v>39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6" ht="13.5" thickBot="1">
      <c r="B24" s="8"/>
      <c r="C24" s="15" t="s">
        <v>17</v>
      </c>
      <c r="D24" s="15" t="s">
        <v>18</v>
      </c>
      <c r="E24" s="15" t="s">
        <v>19</v>
      </c>
      <c r="F24" s="15" t="s">
        <v>20</v>
      </c>
      <c r="G24" s="15" t="s">
        <v>21</v>
      </c>
      <c r="H24" s="15" t="s">
        <v>22</v>
      </c>
      <c r="I24" s="15" t="s">
        <v>23</v>
      </c>
      <c r="J24" s="15" t="s">
        <v>24</v>
      </c>
      <c r="K24" s="15" t="s">
        <v>25</v>
      </c>
      <c r="L24" s="15" t="s">
        <v>26</v>
      </c>
      <c r="M24" s="15" t="s">
        <v>27</v>
      </c>
      <c r="N24" s="15" t="s">
        <v>28</v>
      </c>
      <c r="O24" s="8" t="s">
        <v>0</v>
      </c>
      <c r="P24" s="49" t="s">
        <v>55</v>
      </c>
    </row>
    <row r="25" spans="1:16" ht="13">
      <c r="A25" s="2" t="s">
        <v>88</v>
      </c>
      <c r="B25" s="13">
        <f>(YEAR(G12))</f>
        <v>2010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>
        <f>SUM(C25:N25)</f>
        <v>0</v>
      </c>
      <c r="P25" s="82">
        <f t="shared" ref="P25:P46" si="0">O25*Vergütung_kW</f>
        <v>0</v>
      </c>
    </row>
    <row r="26" spans="1:16" ht="6" customHeight="1">
      <c r="A26" s="1"/>
      <c r="B26" s="5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  <c r="P26" s="85"/>
    </row>
    <row r="27" spans="1:16" ht="13">
      <c r="A27" s="2" t="s">
        <v>64</v>
      </c>
      <c r="B27" s="14">
        <f>B25+1</f>
        <v>2011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>
        <f t="shared" ref="O27:O46" si="1">SUM(C27:N27)</f>
        <v>0</v>
      </c>
      <c r="P27" s="82">
        <f t="shared" si="0"/>
        <v>0</v>
      </c>
    </row>
    <row r="28" spans="1:16" ht="13">
      <c r="A28" s="2" t="s">
        <v>65</v>
      </c>
      <c r="B28" s="14">
        <f>B27+1</f>
        <v>2012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>
        <f t="shared" si="1"/>
        <v>0</v>
      </c>
      <c r="P28" s="82">
        <f t="shared" si="0"/>
        <v>0</v>
      </c>
    </row>
    <row r="29" spans="1:16" ht="13">
      <c r="A29" s="2" t="s">
        <v>66</v>
      </c>
      <c r="B29" s="14">
        <f t="shared" ref="B29:B46" si="2">B28+1</f>
        <v>2013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>
        <f t="shared" si="1"/>
        <v>0</v>
      </c>
      <c r="P29" s="82">
        <f t="shared" si="0"/>
        <v>0</v>
      </c>
    </row>
    <row r="30" spans="1:16" ht="13">
      <c r="A30" s="2" t="s">
        <v>67</v>
      </c>
      <c r="B30" s="14">
        <f t="shared" si="2"/>
        <v>2014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>
        <f t="shared" si="1"/>
        <v>0</v>
      </c>
      <c r="P30" s="82">
        <f t="shared" si="0"/>
        <v>0</v>
      </c>
    </row>
    <row r="31" spans="1:16" ht="13">
      <c r="A31" s="2" t="s">
        <v>68</v>
      </c>
      <c r="B31" s="14">
        <f t="shared" si="2"/>
        <v>2015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>
        <f>SUM(C31:N31)</f>
        <v>0</v>
      </c>
      <c r="P31" s="82">
        <f t="shared" si="0"/>
        <v>0</v>
      </c>
    </row>
    <row r="32" spans="1:16" ht="13">
      <c r="A32" s="2" t="s">
        <v>69</v>
      </c>
      <c r="B32" s="14">
        <f t="shared" si="2"/>
        <v>2016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>
        <f t="shared" si="1"/>
        <v>0</v>
      </c>
      <c r="P32" s="82">
        <f t="shared" si="0"/>
        <v>0</v>
      </c>
    </row>
    <row r="33" spans="1:16" ht="13">
      <c r="A33" s="2" t="s">
        <v>70</v>
      </c>
      <c r="B33" s="14">
        <f t="shared" si="2"/>
        <v>2017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>
        <f t="shared" si="1"/>
        <v>0</v>
      </c>
      <c r="P33" s="82">
        <f t="shared" si="0"/>
        <v>0</v>
      </c>
    </row>
    <row r="34" spans="1:16" ht="13">
      <c r="A34" s="2" t="s">
        <v>71</v>
      </c>
      <c r="B34" s="14">
        <f t="shared" si="2"/>
        <v>2018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>
        <f t="shared" si="1"/>
        <v>0</v>
      </c>
      <c r="P34" s="82">
        <f t="shared" si="0"/>
        <v>0</v>
      </c>
    </row>
    <row r="35" spans="1:16" ht="13">
      <c r="A35" s="2" t="s">
        <v>72</v>
      </c>
      <c r="B35" s="14">
        <f t="shared" si="2"/>
        <v>2019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>
        <f t="shared" si="1"/>
        <v>0</v>
      </c>
      <c r="P35" s="82">
        <f t="shared" si="0"/>
        <v>0</v>
      </c>
    </row>
    <row r="36" spans="1:16" ht="13">
      <c r="A36" s="2" t="s">
        <v>73</v>
      </c>
      <c r="B36" s="14">
        <f t="shared" si="2"/>
        <v>2020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>
        <f>SUM(C36:N36)</f>
        <v>0</v>
      </c>
      <c r="P36" s="82">
        <f t="shared" si="0"/>
        <v>0</v>
      </c>
    </row>
    <row r="37" spans="1:16" ht="13">
      <c r="A37" s="2" t="s">
        <v>74</v>
      </c>
      <c r="B37" s="14">
        <f t="shared" si="2"/>
        <v>2021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>
        <f t="shared" si="1"/>
        <v>0</v>
      </c>
      <c r="P37" s="82">
        <f t="shared" si="0"/>
        <v>0</v>
      </c>
    </row>
    <row r="38" spans="1:16" ht="13">
      <c r="A38" s="2" t="s">
        <v>75</v>
      </c>
      <c r="B38" s="14">
        <f t="shared" si="2"/>
        <v>2022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>
        <f t="shared" si="1"/>
        <v>0</v>
      </c>
      <c r="P38" s="82">
        <f t="shared" si="0"/>
        <v>0</v>
      </c>
    </row>
    <row r="39" spans="1:16" ht="13">
      <c r="A39" s="2" t="s">
        <v>76</v>
      </c>
      <c r="B39" s="14">
        <f t="shared" si="2"/>
        <v>2023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7">
        <f t="shared" si="1"/>
        <v>0</v>
      </c>
      <c r="P39" s="82">
        <f t="shared" si="0"/>
        <v>0</v>
      </c>
    </row>
    <row r="40" spans="1:16" ht="13">
      <c r="A40" s="2" t="s">
        <v>77</v>
      </c>
      <c r="B40" s="14">
        <f t="shared" si="2"/>
        <v>2024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>
        <f t="shared" si="1"/>
        <v>0</v>
      </c>
      <c r="P40" s="82">
        <f t="shared" si="0"/>
        <v>0</v>
      </c>
    </row>
    <row r="41" spans="1:16" ht="13">
      <c r="A41" s="2" t="s">
        <v>78</v>
      </c>
      <c r="B41" s="14">
        <f t="shared" si="2"/>
        <v>2025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>
        <f t="shared" si="1"/>
        <v>0</v>
      </c>
      <c r="P41" s="82">
        <f t="shared" si="0"/>
        <v>0</v>
      </c>
    </row>
    <row r="42" spans="1:16" ht="13">
      <c r="A42" s="2" t="s">
        <v>79</v>
      </c>
      <c r="B42" s="14">
        <f t="shared" si="2"/>
        <v>2026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>
        <f t="shared" si="1"/>
        <v>0</v>
      </c>
      <c r="P42" s="82">
        <f t="shared" si="0"/>
        <v>0</v>
      </c>
    </row>
    <row r="43" spans="1:16" ht="13">
      <c r="A43" s="2" t="s">
        <v>80</v>
      </c>
      <c r="B43" s="14">
        <f t="shared" si="2"/>
        <v>2027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>
        <f t="shared" si="1"/>
        <v>0</v>
      </c>
      <c r="P43" s="82">
        <f t="shared" si="0"/>
        <v>0</v>
      </c>
    </row>
    <row r="44" spans="1:16" ht="13">
      <c r="A44" s="2" t="s">
        <v>81</v>
      </c>
      <c r="B44" s="14">
        <f t="shared" si="2"/>
        <v>2028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7">
        <f t="shared" si="1"/>
        <v>0</v>
      </c>
      <c r="P44" s="82">
        <f t="shared" si="0"/>
        <v>0</v>
      </c>
    </row>
    <row r="45" spans="1:16" ht="13">
      <c r="A45" s="2" t="s">
        <v>82</v>
      </c>
      <c r="B45" s="14">
        <f t="shared" si="2"/>
        <v>2029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>
        <f t="shared" si="1"/>
        <v>0</v>
      </c>
      <c r="P45" s="82">
        <f t="shared" si="0"/>
        <v>0</v>
      </c>
    </row>
    <row r="46" spans="1:16" ht="13">
      <c r="A46" s="2" t="s">
        <v>83</v>
      </c>
      <c r="B46" s="14">
        <f t="shared" si="2"/>
        <v>2030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7">
        <f t="shared" si="1"/>
        <v>0</v>
      </c>
      <c r="P46" s="82">
        <f t="shared" si="0"/>
        <v>0</v>
      </c>
    </row>
    <row r="47" spans="1:16" ht="13">
      <c r="C47" s="132" t="s">
        <v>29</v>
      </c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48" t="s">
        <v>0</v>
      </c>
      <c r="P47" s="82">
        <f>SUM(P25:P46)</f>
        <v>0</v>
      </c>
    </row>
  </sheetData>
  <sheetProtection algorithmName="SHA-512" hashValue="QAiC8DSPMWy6FAI/HMLLcRXuKFJ3GXABiYaPjVDMMRAIWQQZn55Ip+sKA3rqMBV9YtSUXsNvGsVgOTJJnz1gXA==" saltValue="a2bBxpmiosKPgST+lnS9Lg==" spinCount="100000" sheet="1" objects="1" scenarios="1" selectLockedCells="1"/>
  <mergeCells count="10">
    <mergeCell ref="C23:N23"/>
    <mergeCell ref="C47:N47"/>
    <mergeCell ref="F15:G15"/>
    <mergeCell ref="A1:P2"/>
    <mergeCell ref="A3:P3"/>
    <mergeCell ref="A6:B6"/>
    <mergeCell ref="C6:D6"/>
    <mergeCell ref="C9:D9"/>
    <mergeCell ref="C10:D10"/>
    <mergeCell ref="C11:D11"/>
  </mergeCells>
  <phoneticPr fontId="4" type="noConversion"/>
  <conditionalFormatting sqref="O25:O46">
    <cfRule type="cellIs" dxfId="35" priority="1" stopIfTrue="1" operator="lessThan">
      <formula>#REF!</formula>
    </cfRule>
    <cfRule type="cellIs" dxfId="34" priority="2" stopIfTrue="1" operator="greaterThanOrEqual">
      <formula>#REF!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17"/>
  </sheetPr>
  <dimension ref="A1:CM69"/>
  <sheetViews>
    <sheetView showZeros="0" zoomScale="110" zoomScaleNormal="110" workbookViewId="0"/>
  </sheetViews>
  <sheetFormatPr baseColWidth="10" defaultRowHeight="12.5"/>
  <cols>
    <col min="1" max="1" width="11" customWidth="1"/>
    <col min="2" max="18" width="10.7265625" customWidth="1"/>
    <col min="19" max="22" width="9.7265625" customWidth="1"/>
    <col min="29" max="29" width="11.453125" style="125" customWidth="1"/>
    <col min="30" max="30" width="4.7265625" style="125" customWidth="1"/>
    <col min="31" max="31" width="6.7265625" style="125" customWidth="1"/>
    <col min="32" max="55" width="5.7265625" style="125" customWidth="1"/>
    <col min="56" max="56" width="2.7265625" style="125" customWidth="1"/>
    <col min="57" max="59" width="5.7265625" style="125" customWidth="1"/>
    <col min="60" max="76" width="5.7265625" customWidth="1"/>
  </cols>
  <sheetData>
    <row r="1" spans="1:91" ht="13">
      <c r="N1" s="149" t="s">
        <v>32</v>
      </c>
      <c r="O1" s="149"/>
      <c r="S1" s="146" t="s">
        <v>15</v>
      </c>
      <c r="T1" s="146"/>
      <c r="U1" s="146"/>
      <c r="V1" s="146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53"/>
      <c r="CJ1" s="53"/>
      <c r="CK1" s="53"/>
      <c r="CL1" s="53"/>
      <c r="CM1" s="53"/>
    </row>
    <row r="2" spans="1:91" ht="13">
      <c r="A2" s="2" t="s">
        <v>16</v>
      </c>
      <c r="B2" s="88">
        <f>Grunddaten!C21</f>
        <v>128.25</v>
      </c>
      <c r="C2" s="88">
        <f>Grunddaten!D21</f>
        <v>203.3</v>
      </c>
      <c r="D2" s="88">
        <f>Grunddaten!E21</f>
        <v>358.625</v>
      </c>
      <c r="E2" s="88">
        <f>Grunddaten!F21</f>
        <v>502.07499999999999</v>
      </c>
      <c r="F2" s="88">
        <f>Grunddaten!G21</f>
        <v>656.92499999999995</v>
      </c>
      <c r="G2" s="88">
        <f>Grunddaten!H21</f>
        <v>671.17499999999995</v>
      </c>
      <c r="H2" s="88">
        <f>Grunddaten!I21</f>
        <v>709.65</v>
      </c>
      <c r="I2" s="88">
        <f>Grunddaten!J21</f>
        <v>616.07500000000005</v>
      </c>
      <c r="J2" s="88">
        <f>Grunddaten!K21</f>
        <v>421.80000000000007</v>
      </c>
      <c r="K2" s="88">
        <f>Grunddaten!L21</f>
        <v>247.95</v>
      </c>
      <c r="L2" s="88">
        <f>Grunddaten!M21</f>
        <v>136.80000000000001</v>
      </c>
      <c r="M2" s="88">
        <f>Grunddaten!N21</f>
        <v>97.375</v>
      </c>
      <c r="N2" s="149" t="s">
        <v>33</v>
      </c>
      <c r="O2" s="149"/>
      <c r="P2" s="150" t="s">
        <v>4</v>
      </c>
      <c r="Q2" s="150"/>
      <c r="R2" s="150"/>
      <c r="S2" s="28" t="s">
        <v>14</v>
      </c>
      <c r="T2" s="28" t="s">
        <v>13</v>
      </c>
      <c r="U2" s="146" t="s">
        <v>32</v>
      </c>
      <c r="V2" s="146"/>
      <c r="AD2" s="121"/>
      <c r="AE2" s="121"/>
      <c r="AF2" s="122">
        <f>Grunddaten!$B$25</f>
        <v>2010</v>
      </c>
      <c r="AG2" s="121" t="s">
        <v>16</v>
      </c>
      <c r="AH2" s="122"/>
      <c r="AI2" s="122"/>
      <c r="AJ2" s="122">
        <f>AF2+1</f>
        <v>2011</v>
      </c>
      <c r="AK2" s="122">
        <f t="shared" ref="AK2:BC2" si="0">AJ2+1</f>
        <v>2012</v>
      </c>
      <c r="AL2" s="122">
        <f t="shared" si="0"/>
        <v>2013</v>
      </c>
      <c r="AM2" s="122">
        <f t="shared" si="0"/>
        <v>2014</v>
      </c>
      <c r="AN2" s="122">
        <f t="shared" si="0"/>
        <v>2015</v>
      </c>
      <c r="AO2" s="122">
        <f t="shared" si="0"/>
        <v>2016</v>
      </c>
      <c r="AP2" s="122">
        <f t="shared" si="0"/>
        <v>2017</v>
      </c>
      <c r="AQ2" s="122">
        <f t="shared" si="0"/>
        <v>2018</v>
      </c>
      <c r="AR2" s="122">
        <f t="shared" si="0"/>
        <v>2019</v>
      </c>
      <c r="AS2" s="122">
        <f t="shared" si="0"/>
        <v>2020</v>
      </c>
      <c r="AT2" s="122">
        <f t="shared" si="0"/>
        <v>2021</v>
      </c>
      <c r="AU2" s="122">
        <f t="shared" si="0"/>
        <v>2022</v>
      </c>
      <c r="AV2" s="122">
        <f t="shared" si="0"/>
        <v>2023</v>
      </c>
      <c r="AW2" s="122">
        <f t="shared" si="0"/>
        <v>2024</v>
      </c>
      <c r="AX2" s="122">
        <f t="shared" si="0"/>
        <v>2025</v>
      </c>
      <c r="AY2" s="122">
        <f t="shared" si="0"/>
        <v>2026</v>
      </c>
      <c r="AZ2" s="122">
        <f t="shared" si="0"/>
        <v>2027</v>
      </c>
      <c r="BA2" s="122">
        <f t="shared" si="0"/>
        <v>2028</v>
      </c>
      <c r="BB2" s="122">
        <f t="shared" si="0"/>
        <v>2029</v>
      </c>
      <c r="BC2" s="122">
        <f t="shared" si="0"/>
        <v>2030</v>
      </c>
      <c r="BD2" s="121"/>
      <c r="BE2" s="127" t="s">
        <v>16</v>
      </c>
      <c r="BF2" s="127" t="s">
        <v>16</v>
      </c>
      <c r="BG2" s="127" t="s">
        <v>16</v>
      </c>
      <c r="BH2" s="127" t="s">
        <v>16</v>
      </c>
      <c r="BI2" s="127" t="s">
        <v>16</v>
      </c>
      <c r="BJ2" s="127" t="s">
        <v>16</v>
      </c>
      <c r="BK2" s="127" t="s">
        <v>16</v>
      </c>
      <c r="BL2" s="127" t="s">
        <v>16</v>
      </c>
      <c r="BM2" s="127" t="s">
        <v>16</v>
      </c>
      <c r="BN2" s="127" t="s">
        <v>16</v>
      </c>
      <c r="BO2" s="127" t="s">
        <v>16</v>
      </c>
      <c r="BP2" s="127" t="s">
        <v>16</v>
      </c>
      <c r="BQ2" s="127" t="s">
        <v>16</v>
      </c>
      <c r="BR2" s="127" t="s">
        <v>16</v>
      </c>
      <c r="BS2" s="127" t="s">
        <v>16</v>
      </c>
      <c r="BT2" s="127" t="s">
        <v>16</v>
      </c>
      <c r="BU2" s="127" t="s">
        <v>16</v>
      </c>
      <c r="BV2" s="127" t="s">
        <v>16</v>
      </c>
      <c r="BW2" s="127" t="s">
        <v>16</v>
      </c>
      <c r="BX2" s="127" t="s">
        <v>16</v>
      </c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53"/>
      <c r="CJ2" s="53"/>
      <c r="CK2" s="53"/>
      <c r="CL2" s="53"/>
      <c r="CM2" s="53"/>
    </row>
    <row r="3" spans="1:91" ht="13.5" thickBot="1">
      <c r="A3" s="5"/>
      <c r="B3" s="5" t="s">
        <v>42</v>
      </c>
      <c r="C3" s="5" t="s">
        <v>43</v>
      </c>
      <c r="D3" s="5" t="s">
        <v>44</v>
      </c>
      <c r="E3" s="5" t="s">
        <v>45</v>
      </c>
      <c r="F3" s="5" t="s">
        <v>21</v>
      </c>
      <c r="G3" s="5" t="s">
        <v>46</v>
      </c>
      <c r="H3" s="5" t="s">
        <v>47</v>
      </c>
      <c r="I3" s="5" t="s">
        <v>48</v>
      </c>
      <c r="J3" s="5" t="s">
        <v>49</v>
      </c>
      <c r="K3" s="5" t="s">
        <v>50</v>
      </c>
      <c r="L3" s="5" t="s">
        <v>51</v>
      </c>
      <c r="M3" s="5" t="s">
        <v>52</v>
      </c>
      <c r="N3" s="17" t="s">
        <v>6</v>
      </c>
      <c r="O3" s="17" t="s">
        <v>3</v>
      </c>
      <c r="P3" s="72" t="s">
        <v>6</v>
      </c>
      <c r="Q3" s="72" t="s">
        <v>3</v>
      </c>
      <c r="R3" s="72" t="s">
        <v>12</v>
      </c>
      <c r="S3" s="23" t="s">
        <v>6</v>
      </c>
      <c r="T3" s="23" t="s">
        <v>6</v>
      </c>
      <c r="U3" s="23" t="s">
        <v>11</v>
      </c>
      <c r="V3" s="23" t="s">
        <v>35</v>
      </c>
      <c r="AD3" s="121"/>
      <c r="AE3" s="121" t="s">
        <v>17</v>
      </c>
      <c r="AF3" s="128">
        <f>B4</f>
        <v>0</v>
      </c>
      <c r="AG3" s="121">
        <f>Grunddaten!C21</f>
        <v>128.25</v>
      </c>
      <c r="AH3" s="128"/>
      <c r="AI3" s="121" t="s">
        <v>17</v>
      </c>
      <c r="AJ3" s="128">
        <f>B6</f>
        <v>0</v>
      </c>
      <c r="AK3" s="128">
        <f>B7</f>
        <v>0</v>
      </c>
      <c r="AL3" s="129">
        <f>B8</f>
        <v>0</v>
      </c>
      <c r="AM3" s="129">
        <f>B9</f>
        <v>0</v>
      </c>
      <c r="AN3" s="129">
        <f>B10</f>
        <v>0</v>
      </c>
      <c r="AO3" s="129">
        <f>B11</f>
        <v>0</v>
      </c>
      <c r="AP3" s="129">
        <f>B12</f>
        <v>0</v>
      </c>
      <c r="AQ3" s="129">
        <f>B13</f>
        <v>0</v>
      </c>
      <c r="AR3" s="129">
        <f>B14</f>
        <v>0</v>
      </c>
      <c r="AS3" s="129">
        <f>B15</f>
        <v>0</v>
      </c>
      <c r="AT3" s="129">
        <f>B16</f>
        <v>0</v>
      </c>
      <c r="AU3" s="129">
        <f>B17</f>
        <v>0</v>
      </c>
      <c r="AV3" s="129">
        <f>B18</f>
        <v>0</v>
      </c>
      <c r="AW3" s="129">
        <f>B19</f>
        <v>0</v>
      </c>
      <c r="AX3" s="129">
        <f>B20</f>
        <v>0</v>
      </c>
      <c r="AY3" s="129">
        <f>B21</f>
        <v>0</v>
      </c>
      <c r="AZ3" s="129">
        <f>B22</f>
        <v>0</v>
      </c>
      <c r="BA3" s="129">
        <f>B23</f>
        <v>0</v>
      </c>
      <c r="BB3" s="129">
        <f>B24</f>
        <v>0</v>
      </c>
      <c r="BC3" s="129">
        <f>B25</f>
        <v>0</v>
      </c>
      <c r="BD3" s="121"/>
      <c r="BE3" s="127">
        <f t="shared" ref="BE3:BE14" si="1">AG3</f>
        <v>128.25</v>
      </c>
      <c r="BF3" s="127">
        <f>BE3*(1-Grunddaten!$D$13)</f>
        <v>127.86525</v>
      </c>
      <c r="BG3" s="127">
        <f>BF3*(1-Grunddaten!$D$13)</f>
        <v>127.48165425000001</v>
      </c>
      <c r="BH3" s="127">
        <f>BG3*(1-Grunddaten!$D$13)</f>
        <v>127.09920928725001</v>
      </c>
      <c r="BI3" s="127">
        <f>BH3*(1-Grunddaten!$D$13)</f>
        <v>126.71791165938825</v>
      </c>
      <c r="BJ3" s="127">
        <f>BI3*(1-Grunddaten!$D$13)</f>
        <v>126.33775792441008</v>
      </c>
      <c r="BK3" s="127">
        <f>BJ3*(1-Grunddaten!$D$13)</f>
        <v>125.95874465063686</v>
      </c>
      <c r="BL3" s="127">
        <f>BK3*(1-Grunddaten!$D$13)</f>
        <v>125.58086841668495</v>
      </c>
      <c r="BM3" s="127">
        <f>BL3*(1-Grunddaten!$D$13)</f>
        <v>125.20412581143489</v>
      </c>
      <c r="BN3" s="127">
        <f>BM3*(1-Grunddaten!$D$13)</f>
        <v>124.82851343400058</v>
      </c>
      <c r="BO3" s="127">
        <f>BN3*(1-Grunddaten!$D$13)</f>
        <v>124.45402789369858</v>
      </c>
      <c r="BP3" s="127">
        <f>BO3*(1-Grunddaten!$D$13)</f>
        <v>124.08066581001748</v>
      </c>
      <c r="BQ3" s="127">
        <f>BP3*(1-Grunddaten!$D$13)</f>
        <v>123.70842381258743</v>
      </c>
      <c r="BR3" s="127">
        <f>BQ3*(1-Grunddaten!$D$13)</f>
        <v>123.33729854114966</v>
      </c>
      <c r="BS3" s="127">
        <f>BR3*(1-Grunddaten!$D$13)</f>
        <v>122.96728664552622</v>
      </c>
      <c r="BT3" s="127">
        <f>BS3*(1-Grunddaten!$D$13)</f>
        <v>122.59838478558963</v>
      </c>
      <c r="BU3" s="127">
        <f>BT3*(1-Grunddaten!$D$13)</f>
        <v>122.23058963123286</v>
      </c>
      <c r="BV3" s="127">
        <f>BU3*(1-Grunddaten!$D$13)</f>
        <v>121.86389786233916</v>
      </c>
      <c r="BW3" s="127">
        <f>BV3*(1-Grunddaten!$D$13)</f>
        <v>121.49830616875214</v>
      </c>
      <c r="BX3" s="127">
        <f>BW3*(1-Grunddaten!$D$13)</f>
        <v>121.13381125024588</v>
      </c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53"/>
      <c r="CJ3" s="53"/>
      <c r="CK3" s="53"/>
      <c r="CL3" s="53"/>
      <c r="CM3" s="53"/>
    </row>
    <row r="4" spans="1:91" ht="13">
      <c r="A4" s="16">
        <f>Grunddaten!$B$25</f>
        <v>2010</v>
      </c>
      <c r="B4" s="29">
        <f>Grunddaten!C25</f>
        <v>0</v>
      </c>
      <c r="C4" s="29">
        <f>Grunddaten!D25</f>
        <v>0</v>
      </c>
      <c r="D4" s="29">
        <f>Grunddaten!E25</f>
        <v>0</v>
      </c>
      <c r="E4" s="29">
        <f>Grunddaten!F25</f>
        <v>0</v>
      </c>
      <c r="F4" s="29">
        <f>Grunddaten!G25</f>
        <v>0</v>
      </c>
      <c r="G4" s="29">
        <f>Grunddaten!H25</f>
        <v>0</v>
      </c>
      <c r="H4" s="29">
        <f>Grunddaten!I25</f>
        <v>0</v>
      </c>
      <c r="I4" s="29">
        <f>Grunddaten!J25</f>
        <v>0</v>
      </c>
      <c r="J4" s="29">
        <f>Grunddaten!K25</f>
        <v>0</v>
      </c>
      <c r="K4" s="29">
        <f>Grunddaten!L25</f>
        <v>0</v>
      </c>
      <c r="L4" s="29">
        <f>Grunddaten!M25</f>
        <v>0</v>
      </c>
      <c r="M4" s="29">
        <f>Grunddaten!N25</f>
        <v>0</v>
      </c>
      <c r="N4" s="40">
        <f>SUM(B4:M4)</f>
        <v>0</v>
      </c>
      <c r="O4" s="40">
        <f t="shared" ref="O4:O25" si="2">N4*Vergütung_kW</f>
        <v>0</v>
      </c>
      <c r="P4" s="73">
        <f>N4-Startjahr_Soll</f>
        <v>-4750</v>
      </c>
      <c r="Q4" s="73">
        <f t="shared" ref="Q4:Q25" si="3">P4*Vergütung_kW</f>
        <v>-2460.5</v>
      </c>
      <c r="R4" s="74">
        <f>100*Auswertung!N4/Jahres_Soll</f>
        <v>0</v>
      </c>
      <c r="S4" s="26">
        <f>N4/Produktionstage</f>
        <v>0</v>
      </c>
      <c r="T4" s="25" t="e">
        <f>N4/COUNT(Grunddaten!C25:N25)</f>
        <v>#DIV/0!</v>
      </c>
      <c r="U4" s="25">
        <f t="shared" ref="U4:U25" si="4">N4/Anlagengröße</f>
        <v>0</v>
      </c>
      <c r="V4" s="24">
        <f t="shared" ref="V4:V25" si="5">N4/Effektive_Fläche</f>
        <v>0</v>
      </c>
      <c r="X4" s="42" t="e">
        <f>Grunddaten!#REF!</f>
        <v>#REF!</v>
      </c>
      <c r="Y4" s="42" t="e">
        <f>Grunddaten!#REF!</f>
        <v>#REF!</v>
      </c>
      <c r="AD4" s="121"/>
      <c r="AE4" s="121" t="s">
        <v>18</v>
      </c>
      <c r="AF4" s="128">
        <f>C4</f>
        <v>0</v>
      </c>
      <c r="AG4" s="121">
        <f>Grunddaten!D21</f>
        <v>203.3</v>
      </c>
      <c r="AH4" s="128"/>
      <c r="AI4" s="121" t="s">
        <v>18</v>
      </c>
      <c r="AJ4" s="128">
        <f>C6</f>
        <v>0</v>
      </c>
      <c r="AK4" s="130">
        <f>C7</f>
        <v>0</v>
      </c>
      <c r="AL4" s="130">
        <f>C8</f>
        <v>0</v>
      </c>
      <c r="AM4" s="130">
        <f>C9</f>
        <v>0</v>
      </c>
      <c r="AN4" s="130">
        <f>C10</f>
        <v>0</v>
      </c>
      <c r="AO4" s="130">
        <f>C11</f>
        <v>0</v>
      </c>
      <c r="AP4" s="130">
        <f>C12</f>
        <v>0</v>
      </c>
      <c r="AQ4" s="130">
        <f>C13</f>
        <v>0</v>
      </c>
      <c r="AR4" s="130">
        <f>C14</f>
        <v>0</v>
      </c>
      <c r="AS4" s="130">
        <f>C15</f>
        <v>0</v>
      </c>
      <c r="AT4" s="130">
        <f>C16</f>
        <v>0</v>
      </c>
      <c r="AU4" s="130">
        <f>C17</f>
        <v>0</v>
      </c>
      <c r="AV4" s="130">
        <f>C18</f>
        <v>0</v>
      </c>
      <c r="AW4" s="130">
        <f>C19</f>
        <v>0</v>
      </c>
      <c r="AX4" s="130">
        <f>C20</f>
        <v>0</v>
      </c>
      <c r="AY4" s="130">
        <f>C21</f>
        <v>0</v>
      </c>
      <c r="AZ4" s="130">
        <f>C22</f>
        <v>0</v>
      </c>
      <c r="BA4" s="130">
        <f>C23</f>
        <v>0</v>
      </c>
      <c r="BB4" s="129">
        <f>C24</f>
        <v>0</v>
      </c>
      <c r="BC4" s="129">
        <f>C25</f>
        <v>0</v>
      </c>
      <c r="BD4" s="121"/>
      <c r="BE4" s="127">
        <f t="shared" si="1"/>
        <v>203.3</v>
      </c>
      <c r="BF4" s="127">
        <f>BE4*(1-Grunddaten!$D$13)</f>
        <v>202.6901</v>
      </c>
      <c r="BG4" s="127">
        <f>BF4*(1-Grunddaten!$D$13)</f>
        <v>202.08202969999999</v>
      </c>
      <c r="BH4" s="127">
        <f>BG4*(1-Grunddaten!$D$13)</f>
        <v>201.47578361089998</v>
      </c>
      <c r="BI4" s="127">
        <f>BH4*(1-Grunddaten!$D$13)</f>
        <v>200.87135626006727</v>
      </c>
      <c r="BJ4" s="127">
        <f>BI4*(1-Grunddaten!$D$13)</f>
        <v>200.26874219128706</v>
      </c>
      <c r="BK4" s="127">
        <f>BJ4*(1-Grunddaten!$D$13)</f>
        <v>199.66793596471319</v>
      </c>
      <c r="BL4" s="127">
        <f>BK4*(1-Grunddaten!$D$13)</f>
        <v>199.06893215681905</v>
      </c>
      <c r="BM4" s="127">
        <f>BL4*(1-Grunddaten!$D$13)</f>
        <v>198.47172536034859</v>
      </c>
      <c r="BN4" s="127">
        <f>BM4*(1-Grunddaten!$D$13)</f>
        <v>197.87631018426754</v>
      </c>
      <c r="BO4" s="127">
        <f>BN4*(1-Grunddaten!$D$13)</f>
        <v>197.28268125371474</v>
      </c>
      <c r="BP4" s="127">
        <f>BO4*(1-Grunddaten!$D$13)</f>
        <v>196.69083320995361</v>
      </c>
      <c r="BQ4" s="127">
        <f>BP4*(1-Grunddaten!$D$13)</f>
        <v>196.10076071032375</v>
      </c>
      <c r="BR4" s="127">
        <f>BQ4*(1-Grunddaten!$D$13)</f>
        <v>195.51245842819279</v>
      </c>
      <c r="BS4" s="127">
        <f>BR4*(1-Grunddaten!$D$13)</f>
        <v>194.92592105290819</v>
      </c>
      <c r="BT4" s="127">
        <f>BS4*(1-Grunddaten!$D$13)</f>
        <v>194.34114328974948</v>
      </c>
      <c r="BU4" s="127">
        <f>BT4*(1-Grunddaten!$D$13)</f>
        <v>193.75811985988022</v>
      </c>
      <c r="BV4" s="127">
        <f>BU4*(1-Grunddaten!$D$13)</f>
        <v>193.17684550030057</v>
      </c>
      <c r="BW4" s="127">
        <f>BV4*(1-Grunddaten!$D$13)</f>
        <v>192.59731496379968</v>
      </c>
      <c r="BX4" s="127">
        <f>BW4*(1-Grunddaten!$D$13)</f>
        <v>192.01952301890827</v>
      </c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53"/>
      <c r="CJ4" s="53"/>
      <c r="CK4" s="53"/>
      <c r="CL4" s="53"/>
      <c r="CM4" s="53"/>
    </row>
    <row r="5" spans="1:91" ht="12.75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62"/>
      <c r="P5" s="63"/>
      <c r="Q5" s="63"/>
      <c r="R5" s="64"/>
      <c r="S5" s="65"/>
      <c r="T5" s="66"/>
      <c r="U5" s="66"/>
      <c r="V5" s="67"/>
      <c r="X5" s="42"/>
      <c r="Y5" s="42"/>
      <c r="AD5" s="121"/>
      <c r="AE5" s="121" t="s">
        <v>19</v>
      </c>
      <c r="AF5" s="128">
        <f>D4</f>
        <v>0</v>
      </c>
      <c r="AG5" s="121">
        <f>Grunddaten!E21</f>
        <v>358.625</v>
      </c>
      <c r="AH5" s="128"/>
      <c r="AI5" s="121" t="s">
        <v>19</v>
      </c>
      <c r="AJ5" s="128">
        <f>D6</f>
        <v>0</v>
      </c>
      <c r="AK5" s="128">
        <f>D7</f>
        <v>0</v>
      </c>
      <c r="AL5" s="128">
        <f>D8</f>
        <v>0</v>
      </c>
      <c r="AM5" s="128">
        <f>D9</f>
        <v>0</v>
      </c>
      <c r="AN5" s="128">
        <f>D10</f>
        <v>0</v>
      </c>
      <c r="AO5" s="128">
        <f>D11</f>
        <v>0</v>
      </c>
      <c r="AP5" s="128">
        <f>D12</f>
        <v>0</v>
      </c>
      <c r="AQ5" s="128">
        <f>D13</f>
        <v>0</v>
      </c>
      <c r="AR5" s="128">
        <f>D14</f>
        <v>0</v>
      </c>
      <c r="AS5" s="128">
        <f>D15</f>
        <v>0</v>
      </c>
      <c r="AT5" s="128">
        <f>D16</f>
        <v>0</v>
      </c>
      <c r="AU5" s="128">
        <f>D17</f>
        <v>0</v>
      </c>
      <c r="AV5" s="128">
        <f>D18</f>
        <v>0</v>
      </c>
      <c r="AW5" s="128">
        <f>D19</f>
        <v>0</v>
      </c>
      <c r="AX5" s="128">
        <f>D20</f>
        <v>0</v>
      </c>
      <c r="AY5" s="128">
        <f>D21</f>
        <v>0</v>
      </c>
      <c r="AZ5" s="128">
        <f>D22</f>
        <v>0</v>
      </c>
      <c r="BA5" s="128">
        <f>D23</f>
        <v>0</v>
      </c>
      <c r="BB5" s="128">
        <f>D24</f>
        <v>0</v>
      </c>
      <c r="BC5" s="128">
        <f>D25</f>
        <v>0</v>
      </c>
      <c r="BD5" s="121"/>
      <c r="BE5" s="127">
        <f t="shared" si="1"/>
        <v>358.625</v>
      </c>
      <c r="BF5" s="127">
        <f>BE5*(1-Grunddaten!$D$13)</f>
        <v>357.549125</v>
      </c>
      <c r="BG5" s="127">
        <f>BF5*(1-Grunddaten!$D$13)</f>
        <v>356.47647762500003</v>
      </c>
      <c r="BH5" s="127">
        <f>BG5*(1-Grunddaten!$D$13)</f>
        <v>355.40704819212505</v>
      </c>
      <c r="BI5" s="127">
        <f>BH5*(1-Grunddaten!$D$13)</f>
        <v>354.34082704754866</v>
      </c>
      <c r="BJ5" s="127">
        <f>BI5*(1-Grunddaten!$D$13)</f>
        <v>353.27780456640602</v>
      </c>
      <c r="BK5" s="127">
        <f>BJ5*(1-Grunddaten!$D$13)</f>
        <v>352.21797115270681</v>
      </c>
      <c r="BL5" s="127">
        <f>BK5*(1-Grunddaten!$D$13)</f>
        <v>351.16131723924866</v>
      </c>
      <c r="BM5" s="127">
        <f>BL5*(1-Grunddaten!$D$13)</f>
        <v>350.10783328753092</v>
      </c>
      <c r="BN5" s="127">
        <f>BM5*(1-Grunddaten!$D$13)</f>
        <v>349.05750978766832</v>
      </c>
      <c r="BO5" s="127">
        <f>BN5*(1-Grunddaten!$D$13)</f>
        <v>348.0103372583053</v>
      </c>
      <c r="BP5" s="127">
        <f>BO5*(1-Grunddaten!$D$13)</f>
        <v>346.96630624653039</v>
      </c>
      <c r="BQ5" s="127">
        <f>BP5*(1-Grunddaten!$D$13)</f>
        <v>345.92540732779082</v>
      </c>
      <c r="BR5" s="127">
        <f>BQ5*(1-Grunddaten!$D$13)</f>
        <v>344.88763110580743</v>
      </c>
      <c r="BS5" s="127">
        <f>BR5*(1-Grunddaten!$D$13)</f>
        <v>343.85296821249</v>
      </c>
      <c r="BT5" s="127">
        <f>BS5*(1-Grunddaten!$D$13)</f>
        <v>342.82140930785255</v>
      </c>
      <c r="BU5" s="127">
        <f>BT5*(1-Grunddaten!$D$13)</f>
        <v>341.79294507992898</v>
      </c>
      <c r="BV5" s="127">
        <f>BU5*(1-Grunddaten!$D$13)</f>
        <v>340.76756624468919</v>
      </c>
      <c r="BW5" s="127">
        <f>BV5*(1-Grunddaten!$D$13)</f>
        <v>339.74526354595514</v>
      </c>
      <c r="BX5" s="127">
        <f>BW5*(1-Grunddaten!$D$13)</f>
        <v>338.72602775531726</v>
      </c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53"/>
      <c r="CJ5" s="53"/>
      <c r="CK5" s="53"/>
      <c r="CL5" s="53"/>
      <c r="CM5" s="53"/>
    </row>
    <row r="6" spans="1:91" ht="13">
      <c r="A6" s="16">
        <f>A4+1</f>
        <v>2011</v>
      </c>
      <c r="B6" s="29">
        <f>Grunddaten!C27</f>
        <v>0</v>
      </c>
      <c r="C6" s="29">
        <f>Grunddaten!D27</f>
        <v>0</v>
      </c>
      <c r="D6" s="29">
        <f>Grunddaten!E27</f>
        <v>0</v>
      </c>
      <c r="E6" s="29">
        <f>Grunddaten!F27</f>
        <v>0</v>
      </c>
      <c r="F6" s="29">
        <f>Grunddaten!G27</f>
        <v>0</v>
      </c>
      <c r="G6" s="29">
        <f>Grunddaten!H27</f>
        <v>0</v>
      </c>
      <c r="H6" s="29">
        <f>Grunddaten!I27</f>
        <v>0</v>
      </c>
      <c r="I6" s="29">
        <f>Grunddaten!J27</f>
        <v>0</v>
      </c>
      <c r="J6" s="29">
        <f>Grunddaten!K27</f>
        <v>0</v>
      </c>
      <c r="K6" s="29">
        <f>Grunddaten!L27</f>
        <v>0</v>
      </c>
      <c r="L6" s="29">
        <f>Grunddaten!M27</f>
        <v>0</v>
      </c>
      <c r="M6" s="29">
        <f>Grunddaten!N27</f>
        <v>0</v>
      </c>
      <c r="N6" s="40">
        <f t="shared" ref="N6:N25" si="6">SUM(B6:M6)</f>
        <v>0</v>
      </c>
      <c r="O6" s="40">
        <f t="shared" si="2"/>
        <v>0</v>
      </c>
      <c r="P6" s="75">
        <f>N6-B31</f>
        <v>-4750</v>
      </c>
      <c r="Q6" s="75">
        <f t="shared" si="3"/>
        <v>-2460.5</v>
      </c>
      <c r="R6" s="76">
        <f>100*Auswertung!N6/Jahres_Soll</f>
        <v>0</v>
      </c>
      <c r="S6" s="26">
        <f>N6/365</f>
        <v>0</v>
      </c>
      <c r="T6" s="27">
        <f t="shared" ref="T6:T25" si="7">N6/12</f>
        <v>0</v>
      </c>
      <c r="U6" s="27">
        <f t="shared" si="4"/>
        <v>0</v>
      </c>
      <c r="V6" s="26">
        <f t="shared" si="5"/>
        <v>0</v>
      </c>
      <c r="X6" s="41"/>
      <c r="Y6" s="41"/>
      <c r="AD6" s="121"/>
      <c r="AE6" s="121" t="s">
        <v>20</v>
      </c>
      <c r="AF6" s="128">
        <f>E4</f>
        <v>0</v>
      </c>
      <c r="AG6" s="121">
        <f>Grunddaten!F21</f>
        <v>502.07499999999999</v>
      </c>
      <c r="AH6" s="128"/>
      <c r="AI6" s="121" t="s">
        <v>20</v>
      </c>
      <c r="AJ6" s="128">
        <f>E6</f>
        <v>0</v>
      </c>
      <c r="AK6" s="128">
        <f>E7</f>
        <v>0</v>
      </c>
      <c r="AL6" s="128">
        <f>E8</f>
        <v>0</v>
      </c>
      <c r="AM6" s="128">
        <f>E9</f>
        <v>0</v>
      </c>
      <c r="AN6" s="128">
        <f>E10</f>
        <v>0</v>
      </c>
      <c r="AO6" s="128">
        <f>E11</f>
        <v>0</v>
      </c>
      <c r="AP6" s="128">
        <f>E12</f>
        <v>0</v>
      </c>
      <c r="AQ6" s="128">
        <f>E13</f>
        <v>0</v>
      </c>
      <c r="AR6" s="128">
        <f>E14</f>
        <v>0</v>
      </c>
      <c r="AS6" s="128">
        <f>E15</f>
        <v>0</v>
      </c>
      <c r="AT6" s="128">
        <f>E16</f>
        <v>0</v>
      </c>
      <c r="AU6" s="128">
        <f>E17</f>
        <v>0</v>
      </c>
      <c r="AV6" s="128">
        <f>E18</f>
        <v>0</v>
      </c>
      <c r="AW6" s="128">
        <f>E19</f>
        <v>0</v>
      </c>
      <c r="AX6" s="128">
        <f>E20</f>
        <v>0</v>
      </c>
      <c r="AY6" s="128">
        <f>E21</f>
        <v>0</v>
      </c>
      <c r="AZ6" s="128">
        <f>E22</f>
        <v>0</v>
      </c>
      <c r="BA6" s="128">
        <f>E23</f>
        <v>0</v>
      </c>
      <c r="BB6" s="128">
        <f>E24</f>
        <v>0</v>
      </c>
      <c r="BC6" s="128">
        <f>E25</f>
        <v>0</v>
      </c>
      <c r="BD6" s="121"/>
      <c r="BE6" s="127">
        <f t="shared" si="1"/>
        <v>502.07499999999999</v>
      </c>
      <c r="BF6" s="127">
        <f>BE6*(1-Grunddaten!$D$13)</f>
        <v>500.56877499999996</v>
      </c>
      <c r="BG6" s="127">
        <f>BF6*(1-Grunddaten!$D$13)</f>
        <v>499.06706867499997</v>
      </c>
      <c r="BH6" s="127">
        <f>BG6*(1-Grunddaten!$D$13)</f>
        <v>497.56986746897496</v>
      </c>
      <c r="BI6" s="127">
        <f>BH6*(1-Grunddaten!$D$13)</f>
        <v>496.07715786656803</v>
      </c>
      <c r="BJ6" s="127">
        <f>BI6*(1-Grunddaten!$D$13)</f>
        <v>494.58892639296835</v>
      </c>
      <c r="BK6" s="127">
        <f>BJ6*(1-Grunddaten!$D$13)</f>
        <v>493.10515961378945</v>
      </c>
      <c r="BL6" s="127">
        <f>BK6*(1-Grunddaten!$D$13)</f>
        <v>491.62584413494807</v>
      </c>
      <c r="BM6" s="127">
        <f>BL6*(1-Grunddaten!$D$13)</f>
        <v>490.15096660254324</v>
      </c>
      <c r="BN6" s="127">
        <f>BM6*(1-Grunddaten!$D$13)</f>
        <v>488.6805137027356</v>
      </c>
      <c r="BO6" s="127">
        <f>BN6*(1-Grunddaten!$D$13)</f>
        <v>487.21447216162738</v>
      </c>
      <c r="BP6" s="127">
        <f>BO6*(1-Grunddaten!$D$13)</f>
        <v>485.75282874514249</v>
      </c>
      <c r="BQ6" s="127">
        <f>BP6*(1-Grunddaten!$D$13)</f>
        <v>484.29557025890705</v>
      </c>
      <c r="BR6" s="127">
        <f>BQ6*(1-Grunddaten!$D$13)</f>
        <v>482.84268354813031</v>
      </c>
      <c r="BS6" s="127">
        <f>BR6*(1-Grunddaten!$D$13)</f>
        <v>481.39415549748594</v>
      </c>
      <c r="BT6" s="127">
        <f>BS6*(1-Grunddaten!$D$13)</f>
        <v>479.94997303099348</v>
      </c>
      <c r="BU6" s="127">
        <f>BT6*(1-Grunddaten!$D$13)</f>
        <v>478.5101231119005</v>
      </c>
      <c r="BV6" s="127">
        <f>BU6*(1-Grunddaten!$D$13)</f>
        <v>477.07459274256479</v>
      </c>
      <c r="BW6" s="127">
        <f>BV6*(1-Grunddaten!$D$13)</f>
        <v>475.64336896433707</v>
      </c>
      <c r="BX6" s="127">
        <f>BW6*(1-Grunddaten!$D$13)</f>
        <v>474.21643885744407</v>
      </c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53"/>
      <c r="CJ6" s="53"/>
      <c r="CK6" s="53"/>
      <c r="CL6" s="53"/>
      <c r="CM6" s="53"/>
    </row>
    <row r="7" spans="1:91" ht="13">
      <c r="A7" s="16">
        <f t="shared" ref="A7:A25" si="8">A6+1</f>
        <v>2012</v>
      </c>
      <c r="B7" s="29">
        <f>Grunddaten!C28</f>
        <v>0</v>
      </c>
      <c r="C7" s="29">
        <f>Grunddaten!D28</f>
        <v>0</v>
      </c>
      <c r="D7" s="29">
        <f>Grunddaten!E28</f>
        <v>0</v>
      </c>
      <c r="E7" s="29">
        <f>Grunddaten!F28</f>
        <v>0</v>
      </c>
      <c r="F7" s="29">
        <f>Grunddaten!G28</f>
        <v>0</v>
      </c>
      <c r="G7" s="29">
        <f>Grunddaten!H28</f>
        <v>0</v>
      </c>
      <c r="H7" s="29">
        <f>Grunddaten!I28</f>
        <v>0</v>
      </c>
      <c r="I7" s="29">
        <f>Grunddaten!J28</f>
        <v>0</v>
      </c>
      <c r="J7" s="29">
        <f>Grunddaten!K28</f>
        <v>0</v>
      </c>
      <c r="K7" s="29">
        <f>Grunddaten!L28</f>
        <v>0</v>
      </c>
      <c r="L7" s="29">
        <f>Grunddaten!M28</f>
        <v>0</v>
      </c>
      <c r="M7" s="29">
        <f>Grunddaten!N28</f>
        <v>0</v>
      </c>
      <c r="N7" s="40">
        <f t="shared" si="6"/>
        <v>0</v>
      </c>
      <c r="O7" s="40">
        <f t="shared" si="2"/>
        <v>0</v>
      </c>
      <c r="P7" s="75">
        <f t="shared" ref="P7:P25" si="9">N7-B32</f>
        <v>-4735.75</v>
      </c>
      <c r="Q7" s="75">
        <f t="shared" si="3"/>
        <v>-2453.1185</v>
      </c>
      <c r="R7" s="76">
        <f>100*Auswertung!N7/Jahres_Soll</f>
        <v>0</v>
      </c>
      <c r="S7" s="26">
        <f t="shared" ref="S7:S25" si="10">N7/365</f>
        <v>0</v>
      </c>
      <c r="T7" s="27">
        <f t="shared" si="7"/>
        <v>0</v>
      </c>
      <c r="U7" s="27">
        <f t="shared" si="4"/>
        <v>0</v>
      </c>
      <c r="V7" s="26">
        <f t="shared" si="5"/>
        <v>0</v>
      </c>
      <c r="X7" s="41"/>
      <c r="Y7" s="41"/>
      <c r="AD7" s="121"/>
      <c r="AE7" s="121" t="s">
        <v>21</v>
      </c>
      <c r="AF7" s="128">
        <f>F4</f>
        <v>0</v>
      </c>
      <c r="AG7" s="121">
        <f>Grunddaten!G21</f>
        <v>656.92499999999995</v>
      </c>
      <c r="AH7" s="128"/>
      <c r="AI7" s="121" t="s">
        <v>21</v>
      </c>
      <c r="AJ7" s="128">
        <f>F6</f>
        <v>0</v>
      </c>
      <c r="AK7" s="128">
        <f>F7</f>
        <v>0</v>
      </c>
      <c r="AL7" s="128">
        <f>F8</f>
        <v>0</v>
      </c>
      <c r="AM7" s="128">
        <f>F9</f>
        <v>0</v>
      </c>
      <c r="AN7" s="128">
        <f>F10</f>
        <v>0</v>
      </c>
      <c r="AO7" s="128">
        <f>F11</f>
        <v>0</v>
      </c>
      <c r="AP7" s="128">
        <f>F12</f>
        <v>0</v>
      </c>
      <c r="AQ7" s="128">
        <f>F13</f>
        <v>0</v>
      </c>
      <c r="AR7" s="128">
        <f>F14</f>
        <v>0</v>
      </c>
      <c r="AS7" s="128">
        <f>F15</f>
        <v>0</v>
      </c>
      <c r="AT7" s="128">
        <f>F16</f>
        <v>0</v>
      </c>
      <c r="AU7" s="128">
        <f>F17</f>
        <v>0</v>
      </c>
      <c r="AV7" s="128">
        <f>F18</f>
        <v>0</v>
      </c>
      <c r="AW7" s="128">
        <f>F19</f>
        <v>0</v>
      </c>
      <c r="AX7" s="128">
        <f>F20</f>
        <v>0</v>
      </c>
      <c r="AY7" s="128">
        <f>F21</f>
        <v>0</v>
      </c>
      <c r="AZ7" s="128">
        <f>F22</f>
        <v>0</v>
      </c>
      <c r="BA7" s="128">
        <f>F23</f>
        <v>0</v>
      </c>
      <c r="BB7" s="128">
        <f>F24</f>
        <v>0</v>
      </c>
      <c r="BC7" s="128">
        <f>F25</f>
        <v>0</v>
      </c>
      <c r="BD7" s="121"/>
      <c r="BE7" s="127">
        <f t="shared" si="1"/>
        <v>656.92499999999995</v>
      </c>
      <c r="BF7" s="127">
        <f>BE7*(1-Grunddaten!$D$13)</f>
        <v>654.95422499999995</v>
      </c>
      <c r="BG7" s="127">
        <f>BF7*(1-Grunddaten!$D$13)</f>
        <v>652.989362325</v>
      </c>
      <c r="BH7" s="127">
        <f>BG7*(1-Grunddaten!$D$13)</f>
        <v>651.030394238025</v>
      </c>
      <c r="BI7" s="127">
        <f>BH7*(1-Grunddaten!$D$13)</f>
        <v>649.07730305531095</v>
      </c>
      <c r="BJ7" s="127">
        <f>BI7*(1-Grunddaten!$D$13)</f>
        <v>647.13007114614504</v>
      </c>
      <c r="BK7" s="127">
        <f>BJ7*(1-Grunddaten!$D$13)</f>
        <v>645.18868093270657</v>
      </c>
      <c r="BL7" s="127">
        <f>BK7*(1-Grunddaten!$D$13)</f>
        <v>643.25311488990849</v>
      </c>
      <c r="BM7" s="127">
        <f>BL7*(1-Grunddaten!$D$13)</f>
        <v>641.32335554523877</v>
      </c>
      <c r="BN7" s="127">
        <f>BM7*(1-Grunddaten!$D$13)</f>
        <v>639.39938547860311</v>
      </c>
      <c r="BO7" s="127">
        <f>BN7*(1-Grunddaten!$D$13)</f>
        <v>637.48118732216733</v>
      </c>
      <c r="BP7" s="127">
        <f>BO7*(1-Grunddaten!$D$13)</f>
        <v>635.56874376020085</v>
      </c>
      <c r="BQ7" s="127">
        <f>BP7*(1-Grunddaten!$D$13)</f>
        <v>633.66203752892022</v>
      </c>
      <c r="BR7" s="127">
        <f>BQ7*(1-Grunddaten!$D$13)</f>
        <v>631.76105141633343</v>
      </c>
      <c r="BS7" s="127">
        <f>BR7*(1-Grunddaten!$D$13)</f>
        <v>629.86576826208443</v>
      </c>
      <c r="BT7" s="127">
        <f>BS7*(1-Grunddaten!$D$13)</f>
        <v>627.97617095729822</v>
      </c>
      <c r="BU7" s="127">
        <f>BT7*(1-Grunddaten!$D$13)</f>
        <v>626.09224244442635</v>
      </c>
      <c r="BV7" s="127">
        <f>BU7*(1-Grunddaten!$D$13)</f>
        <v>624.21396571709306</v>
      </c>
      <c r="BW7" s="127">
        <f>BV7*(1-Grunddaten!$D$13)</f>
        <v>622.34132381994175</v>
      </c>
      <c r="BX7" s="127">
        <f>BW7*(1-Grunddaten!$D$13)</f>
        <v>620.47429984848191</v>
      </c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53"/>
      <c r="CJ7" s="53"/>
      <c r="CK7" s="53"/>
      <c r="CL7" s="53"/>
      <c r="CM7" s="53"/>
    </row>
    <row r="8" spans="1:91" ht="13">
      <c r="A8" s="16">
        <f t="shared" si="8"/>
        <v>2013</v>
      </c>
      <c r="B8" s="29">
        <f>Grunddaten!C29</f>
        <v>0</v>
      </c>
      <c r="C8" s="29">
        <f>Grunddaten!D29</f>
        <v>0</v>
      </c>
      <c r="D8" s="29">
        <f>Grunddaten!E29</f>
        <v>0</v>
      </c>
      <c r="E8" s="29">
        <f>Grunddaten!F29</f>
        <v>0</v>
      </c>
      <c r="F8" s="29">
        <f>Grunddaten!G29</f>
        <v>0</v>
      </c>
      <c r="G8" s="29">
        <f>Grunddaten!H29</f>
        <v>0</v>
      </c>
      <c r="H8" s="29">
        <f>Grunddaten!I29</f>
        <v>0</v>
      </c>
      <c r="I8" s="29">
        <f>Grunddaten!J29</f>
        <v>0</v>
      </c>
      <c r="J8" s="29">
        <f>Grunddaten!K29</f>
        <v>0</v>
      </c>
      <c r="K8" s="29">
        <f>Grunddaten!L29</f>
        <v>0</v>
      </c>
      <c r="L8" s="29">
        <f>Grunddaten!M29</f>
        <v>0</v>
      </c>
      <c r="M8" s="29">
        <f>Grunddaten!N29</f>
        <v>0</v>
      </c>
      <c r="N8" s="40">
        <f t="shared" si="6"/>
        <v>0</v>
      </c>
      <c r="O8" s="40">
        <f t="shared" si="2"/>
        <v>0</v>
      </c>
      <c r="P8" s="75">
        <f t="shared" si="9"/>
        <v>-4721.5427499999996</v>
      </c>
      <c r="Q8" s="75">
        <f t="shared" si="3"/>
        <v>-2445.7591444999998</v>
      </c>
      <c r="R8" s="76">
        <f>100*Auswertung!N8/Jahres_Soll</f>
        <v>0</v>
      </c>
      <c r="S8" s="26">
        <f t="shared" si="10"/>
        <v>0</v>
      </c>
      <c r="T8" s="27">
        <f t="shared" si="7"/>
        <v>0</v>
      </c>
      <c r="U8" s="27">
        <f t="shared" si="4"/>
        <v>0</v>
      </c>
      <c r="V8" s="26">
        <f t="shared" si="5"/>
        <v>0</v>
      </c>
      <c r="X8" s="41"/>
      <c r="Y8" s="41"/>
      <c r="AD8" s="121"/>
      <c r="AE8" s="121" t="s">
        <v>22</v>
      </c>
      <c r="AF8" s="128">
        <f>G4</f>
        <v>0</v>
      </c>
      <c r="AG8" s="121">
        <f>Grunddaten!H21</f>
        <v>671.17499999999995</v>
      </c>
      <c r="AH8" s="128"/>
      <c r="AI8" s="121" t="s">
        <v>22</v>
      </c>
      <c r="AJ8" s="128">
        <f>G6</f>
        <v>0</v>
      </c>
      <c r="AK8" s="128">
        <f>G7</f>
        <v>0</v>
      </c>
      <c r="AL8" s="128">
        <f>G8</f>
        <v>0</v>
      </c>
      <c r="AM8" s="128">
        <f>G9</f>
        <v>0</v>
      </c>
      <c r="AN8" s="128">
        <f>G10</f>
        <v>0</v>
      </c>
      <c r="AO8" s="128">
        <f>G11</f>
        <v>0</v>
      </c>
      <c r="AP8" s="128">
        <f>G12</f>
        <v>0</v>
      </c>
      <c r="AQ8" s="128">
        <f>G13</f>
        <v>0</v>
      </c>
      <c r="AR8" s="128">
        <f>G14</f>
        <v>0</v>
      </c>
      <c r="AS8" s="128">
        <f>G15</f>
        <v>0</v>
      </c>
      <c r="AT8" s="128">
        <f>G16</f>
        <v>0</v>
      </c>
      <c r="AU8" s="128">
        <f>G17</f>
        <v>0</v>
      </c>
      <c r="AV8" s="128">
        <f>G18</f>
        <v>0</v>
      </c>
      <c r="AW8" s="128">
        <f>G19</f>
        <v>0</v>
      </c>
      <c r="AX8" s="128">
        <f>G20</f>
        <v>0</v>
      </c>
      <c r="AY8" s="128">
        <f>G21</f>
        <v>0</v>
      </c>
      <c r="AZ8" s="128">
        <f>G22</f>
        <v>0</v>
      </c>
      <c r="BA8" s="128">
        <f>G23</f>
        <v>0</v>
      </c>
      <c r="BB8" s="128">
        <f>G24</f>
        <v>0</v>
      </c>
      <c r="BC8" s="128">
        <f>G25</f>
        <v>0</v>
      </c>
      <c r="BD8" s="121"/>
      <c r="BE8" s="127">
        <f t="shared" si="1"/>
        <v>671.17499999999995</v>
      </c>
      <c r="BF8" s="127">
        <f>BE8*(1-Grunddaten!$D$13)</f>
        <v>669.161475</v>
      </c>
      <c r="BG8" s="127">
        <f>BF8*(1-Grunddaten!$D$13)</f>
        <v>667.15399057499997</v>
      </c>
      <c r="BH8" s="127">
        <f>BG8*(1-Grunddaten!$D$13)</f>
        <v>665.15252860327496</v>
      </c>
      <c r="BI8" s="127">
        <f>BH8*(1-Grunddaten!$D$13)</f>
        <v>663.15707101746511</v>
      </c>
      <c r="BJ8" s="127">
        <f>BI8*(1-Grunddaten!$D$13)</f>
        <v>661.1675998044127</v>
      </c>
      <c r="BK8" s="127">
        <f>BJ8*(1-Grunddaten!$D$13)</f>
        <v>659.18409700499944</v>
      </c>
      <c r="BL8" s="127">
        <f>BK8*(1-Grunddaten!$D$13)</f>
        <v>657.2065447139845</v>
      </c>
      <c r="BM8" s="127">
        <f>BL8*(1-Grunddaten!$D$13)</f>
        <v>655.23492507984258</v>
      </c>
      <c r="BN8" s="127">
        <f>BM8*(1-Grunddaten!$D$13)</f>
        <v>653.2692203046031</v>
      </c>
      <c r="BO8" s="127">
        <f>BN8*(1-Grunddaten!$D$13)</f>
        <v>651.30941264368926</v>
      </c>
      <c r="BP8" s="127">
        <f>BO8*(1-Grunddaten!$D$13)</f>
        <v>649.35548440575815</v>
      </c>
      <c r="BQ8" s="127">
        <f>BP8*(1-Grunddaten!$D$13)</f>
        <v>647.40741795254087</v>
      </c>
      <c r="BR8" s="127">
        <f>BQ8*(1-Grunddaten!$D$13)</f>
        <v>645.46519569868326</v>
      </c>
      <c r="BS8" s="127">
        <f>BR8*(1-Grunddaten!$D$13)</f>
        <v>643.5288001115872</v>
      </c>
      <c r="BT8" s="127">
        <f>BS8*(1-Grunddaten!$D$13)</f>
        <v>641.59821371125247</v>
      </c>
      <c r="BU8" s="127">
        <f>BT8*(1-Grunddaten!$D$13)</f>
        <v>639.67341907011871</v>
      </c>
      <c r="BV8" s="127">
        <f>BU8*(1-Grunddaten!$D$13)</f>
        <v>637.75439881290833</v>
      </c>
      <c r="BW8" s="127">
        <f>BV8*(1-Grunddaten!$D$13)</f>
        <v>635.84113561646961</v>
      </c>
      <c r="BX8" s="127">
        <f>BW8*(1-Grunddaten!$D$13)</f>
        <v>633.93361220962015</v>
      </c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53"/>
      <c r="CJ8" s="53"/>
      <c r="CK8" s="53"/>
      <c r="CL8" s="53"/>
      <c r="CM8" s="53"/>
    </row>
    <row r="9" spans="1:91" ht="13">
      <c r="A9" s="16">
        <f t="shared" si="8"/>
        <v>2014</v>
      </c>
      <c r="B9" s="29">
        <f>Grunddaten!C30</f>
        <v>0</v>
      </c>
      <c r="C9" s="29">
        <f>Grunddaten!D30</f>
        <v>0</v>
      </c>
      <c r="D9" s="29">
        <f>Grunddaten!E30</f>
        <v>0</v>
      </c>
      <c r="E9" s="29">
        <f>Grunddaten!F30</f>
        <v>0</v>
      </c>
      <c r="F9" s="29">
        <f>Grunddaten!G30</f>
        <v>0</v>
      </c>
      <c r="G9" s="29">
        <f>Grunddaten!H30</f>
        <v>0</v>
      </c>
      <c r="H9" s="29">
        <f>Grunddaten!I30</f>
        <v>0</v>
      </c>
      <c r="I9" s="29">
        <f>Grunddaten!J30</f>
        <v>0</v>
      </c>
      <c r="J9" s="29">
        <f>Grunddaten!K30</f>
        <v>0</v>
      </c>
      <c r="K9" s="29">
        <f>Grunddaten!L30</f>
        <v>0</v>
      </c>
      <c r="L9" s="29">
        <f>Grunddaten!M30</f>
        <v>0</v>
      </c>
      <c r="M9" s="29">
        <f>Grunddaten!N30</f>
        <v>0</v>
      </c>
      <c r="N9" s="40">
        <f t="shared" si="6"/>
        <v>0</v>
      </c>
      <c r="O9" s="40">
        <f t="shared" si="2"/>
        <v>0</v>
      </c>
      <c r="P9" s="75">
        <f t="shared" si="9"/>
        <v>-4707.37812175</v>
      </c>
      <c r="Q9" s="75">
        <f t="shared" si="3"/>
        <v>-2438.4218670665</v>
      </c>
      <c r="R9" s="76">
        <f>100*Auswertung!N9/Jahres_Soll</f>
        <v>0</v>
      </c>
      <c r="S9" s="26">
        <f t="shared" si="10"/>
        <v>0</v>
      </c>
      <c r="T9" s="27">
        <f t="shared" si="7"/>
        <v>0</v>
      </c>
      <c r="U9" s="27">
        <f t="shared" si="4"/>
        <v>0</v>
      </c>
      <c r="V9" s="26">
        <f t="shared" si="5"/>
        <v>0</v>
      </c>
      <c r="X9" s="41"/>
      <c r="Y9" s="41"/>
      <c r="AD9" s="121"/>
      <c r="AE9" s="121" t="s">
        <v>23</v>
      </c>
      <c r="AF9" s="128">
        <f>H4</f>
        <v>0</v>
      </c>
      <c r="AG9" s="121">
        <f>Grunddaten!I21</f>
        <v>709.65</v>
      </c>
      <c r="AH9" s="128"/>
      <c r="AI9" s="121" t="s">
        <v>23</v>
      </c>
      <c r="AJ9" s="128">
        <f>H6</f>
        <v>0</v>
      </c>
      <c r="AK9" s="128">
        <f>H7</f>
        <v>0</v>
      </c>
      <c r="AL9" s="128">
        <f>H8</f>
        <v>0</v>
      </c>
      <c r="AM9" s="128">
        <f>H9</f>
        <v>0</v>
      </c>
      <c r="AN9" s="128">
        <f>H10</f>
        <v>0</v>
      </c>
      <c r="AO9" s="128">
        <f>H11</f>
        <v>0</v>
      </c>
      <c r="AP9" s="128">
        <f>H12</f>
        <v>0</v>
      </c>
      <c r="AQ9" s="128">
        <f>H13</f>
        <v>0</v>
      </c>
      <c r="AR9" s="128">
        <f>H14</f>
        <v>0</v>
      </c>
      <c r="AS9" s="128">
        <f>H15</f>
        <v>0</v>
      </c>
      <c r="AT9" s="128">
        <f>H16</f>
        <v>0</v>
      </c>
      <c r="AU9" s="128">
        <f>H17</f>
        <v>0</v>
      </c>
      <c r="AV9" s="128">
        <f>H18</f>
        <v>0</v>
      </c>
      <c r="AW9" s="128">
        <f>H19</f>
        <v>0</v>
      </c>
      <c r="AX9" s="128">
        <f>H20</f>
        <v>0</v>
      </c>
      <c r="AY9" s="128">
        <f>H21</f>
        <v>0</v>
      </c>
      <c r="AZ9" s="128">
        <f>H22</f>
        <v>0</v>
      </c>
      <c r="BA9" s="128">
        <f>H23</f>
        <v>0</v>
      </c>
      <c r="BB9" s="128">
        <f>H24</f>
        <v>0</v>
      </c>
      <c r="BC9" s="128">
        <f>H25</f>
        <v>0</v>
      </c>
      <c r="BD9" s="121"/>
      <c r="BE9" s="127">
        <f t="shared" si="1"/>
        <v>709.65</v>
      </c>
      <c r="BF9" s="127">
        <f>BE9*(1-Grunddaten!$D$13)</f>
        <v>707.52104999999995</v>
      </c>
      <c r="BG9" s="127">
        <f>BF9*(1-Grunddaten!$D$13)</f>
        <v>705.39848684999993</v>
      </c>
      <c r="BH9" s="127">
        <f>BG9*(1-Grunddaten!$D$13)</f>
        <v>703.28229138944994</v>
      </c>
      <c r="BI9" s="127">
        <f>BH9*(1-Grunddaten!$D$13)</f>
        <v>701.17244451528154</v>
      </c>
      <c r="BJ9" s="127">
        <f>BI9*(1-Grunddaten!$D$13)</f>
        <v>699.06892718173572</v>
      </c>
      <c r="BK9" s="127">
        <f>BJ9*(1-Grunddaten!$D$13)</f>
        <v>696.97172040019052</v>
      </c>
      <c r="BL9" s="127">
        <f>BK9*(1-Grunddaten!$D$13)</f>
        <v>694.88080523898998</v>
      </c>
      <c r="BM9" s="127">
        <f>BL9*(1-Grunddaten!$D$13)</f>
        <v>692.79616282327299</v>
      </c>
      <c r="BN9" s="127">
        <f>BM9*(1-Grunddaten!$D$13)</f>
        <v>690.71777433480315</v>
      </c>
      <c r="BO9" s="127">
        <f>BN9*(1-Grunddaten!$D$13)</f>
        <v>688.64562101179877</v>
      </c>
      <c r="BP9" s="127">
        <f>BO9*(1-Grunddaten!$D$13)</f>
        <v>686.57968414876336</v>
      </c>
      <c r="BQ9" s="127">
        <f>BP9*(1-Grunddaten!$D$13)</f>
        <v>684.51994509631709</v>
      </c>
      <c r="BR9" s="127">
        <f>BQ9*(1-Grunddaten!$D$13)</f>
        <v>682.46638526102811</v>
      </c>
      <c r="BS9" s="127">
        <f>BR9*(1-Grunddaten!$D$13)</f>
        <v>680.41898610524504</v>
      </c>
      <c r="BT9" s="127">
        <f>BS9*(1-Grunddaten!$D$13)</f>
        <v>678.37772914692925</v>
      </c>
      <c r="BU9" s="127">
        <f>BT9*(1-Grunddaten!$D$13)</f>
        <v>676.34259595948845</v>
      </c>
      <c r="BV9" s="127">
        <f>BU9*(1-Grunddaten!$D$13)</f>
        <v>674.31356817160997</v>
      </c>
      <c r="BW9" s="127">
        <f>BV9*(1-Grunddaten!$D$13)</f>
        <v>672.29062746709519</v>
      </c>
      <c r="BX9" s="127">
        <f>BW9*(1-Grunddaten!$D$13)</f>
        <v>670.27375558469396</v>
      </c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53"/>
      <c r="CJ9" s="53"/>
      <c r="CK9" s="53"/>
      <c r="CL9" s="53"/>
      <c r="CM9" s="53"/>
    </row>
    <row r="10" spans="1:91" ht="13">
      <c r="A10" s="16">
        <f t="shared" si="8"/>
        <v>2015</v>
      </c>
      <c r="B10" s="29">
        <f>Grunddaten!C31</f>
        <v>0</v>
      </c>
      <c r="C10" s="29">
        <f>Grunddaten!D31</f>
        <v>0</v>
      </c>
      <c r="D10" s="29">
        <f>Grunddaten!E31</f>
        <v>0</v>
      </c>
      <c r="E10" s="29">
        <f>Grunddaten!F31</f>
        <v>0</v>
      </c>
      <c r="F10" s="29">
        <f>Grunddaten!G31</f>
        <v>0</v>
      </c>
      <c r="G10" s="29">
        <f>Grunddaten!H31</f>
        <v>0</v>
      </c>
      <c r="H10" s="29">
        <f>Grunddaten!I31</f>
        <v>0</v>
      </c>
      <c r="I10" s="29">
        <f>Grunddaten!J31</f>
        <v>0</v>
      </c>
      <c r="J10" s="29">
        <f>Grunddaten!K31</f>
        <v>0</v>
      </c>
      <c r="K10" s="29">
        <f>Grunddaten!L31</f>
        <v>0</v>
      </c>
      <c r="L10" s="29">
        <f>Grunddaten!M31</f>
        <v>0</v>
      </c>
      <c r="M10" s="29">
        <f>Grunddaten!N31</f>
        <v>0</v>
      </c>
      <c r="N10" s="40">
        <f t="shared" si="6"/>
        <v>0</v>
      </c>
      <c r="O10" s="40">
        <f t="shared" si="2"/>
        <v>0</v>
      </c>
      <c r="P10" s="75">
        <f t="shared" si="9"/>
        <v>-4693.2559873847504</v>
      </c>
      <c r="Q10" s="75">
        <f t="shared" si="3"/>
        <v>-2431.1066014653006</v>
      </c>
      <c r="R10" s="76">
        <f>100*Auswertung!N10/Jahres_Soll</f>
        <v>0</v>
      </c>
      <c r="S10" s="26">
        <f t="shared" si="10"/>
        <v>0</v>
      </c>
      <c r="T10" s="27">
        <f t="shared" si="7"/>
        <v>0</v>
      </c>
      <c r="U10" s="27">
        <f t="shared" si="4"/>
        <v>0</v>
      </c>
      <c r="V10" s="26">
        <f t="shared" si="5"/>
        <v>0</v>
      </c>
      <c r="X10" s="41"/>
      <c r="Y10" s="41"/>
      <c r="AD10" s="121"/>
      <c r="AE10" s="121" t="s">
        <v>24</v>
      </c>
      <c r="AF10" s="128">
        <f>I4</f>
        <v>0</v>
      </c>
      <c r="AG10" s="121">
        <f>Grunddaten!J21</f>
        <v>616.07500000000005</v>
      </c>
      <c r="AH10" s="128"/>
      <c r="AI10" s="121" t="s">
        <v>24</v>
      </c>
      <c r="AJ10" s="128">
        <f>I6</f>
        <v>0</v>
      </c>
      <c r="AK10" s="128">
        <f>I7</f>
        <v>0</v>
      </c>
      <c r="AL10" s="128">
        <f>I8</f>
        <v>0</v>
      </c>
      <c r="AM10" s="128">
        <f>I9</f>
        <v>0</v>
      </c>
      <c r="AN10" s="128">
        <f>I10</f>
        <v>0</v>
      </c>
      <c r="AO10" s="128">
        <f>I11</f>
        <v>0</v>
      </c>
      <c r="AP10" s="128">
        <f>I12</f>
        <v>0</v>
      </c>
      <c r="AQ10" s="128">
        <f>I13</f>
        <v>0</v>
      </c>
      <c r="AR10" s="128">
        <f>I14</f>
        <v>0</v>
      </c>
      <c r="AS10" s="128">
        <f>I15</f>
        <v>0</v>
      </c>
      <c r="AT10" s="128">
        <f>I16</f>
        <v>0</v>
      </c>
      <c r="AU10" s="128">
        <f>I17</f>
        <v>0</v>
      </c>
      <c r="AV10" s="128">
        <f>I18</f>
        <v>0</v>
      </c>
      <c r="AW10" s="128">
        <f>I19</f>
        <v>0</v>
      </c>
      <c r="AX10" s="128">
        <f>I20</f>
        <v>0</v>
      </c>
      <c r="AY10" s="128">
        <f>I21</f>
        <v>0</v>
      </c>
      <c r="AZ10" s="128">
        <f>I22</f>
        <v>0</v>
      </c>
      <c r="BA10" s="128">
        <f>I23</f>
        <v>0</v>
      </c>
      <c r="BB10" s="128">
        <f>I24</f>
        <v>0</v>
      </c>
      <c r="BC10" s="128">
        <f>I25</f>
        <v>0</v>
      </c>
      <c r="BD10" s="121"/>
      <c r="BE10" s="127">
        <f t="shared" si="1"/>
        <v>616.07500000000005</v>
      </c>
      <c r="BF10" s="127">
        <f>BE10*(1-Grunddaten!$D$13)</f>
        <v>614.22677500000009</v>
      </c>
      <c r="BG10" s="127">
        <f>BF10*(1-Grunddaten!$D$13)</f>
        <v>612.38409467500014</v>
      </c>
      <c r="BH10" s="127">
        <f>BG10*(1-Grunddaten!$D$13)</f>
        <v>610.54694239097512</v>
      </c>
      <c r="BI10" s="127">
        <f>BH10*(1-Grunddaten!$D$13)</f>
        <v>608.7153015638022</v>
      </c>
      <c r="BJ10" s="127">
        <f>BI10*(1-Grunddaten!$D$13)</f>
        <v>606.88915565911077</v>
      </c>
      <c r="BK10" s="127">
        <f>BJ10*(1-Grunddaten!$D$13)</f>
        <v>605.06848819213349</v>
      </c>
      <c r="BL10" s="127">
        <f>BK10*(1-Grunddaten!$D$13)</f>
        <v>603.25328272755712</v>
      </c>
      <c r="BM10" s="127">
        <f>BL10*(1-Grunddaten!$D$13)</f>
        <v>601.44352287937443</v>
      </c>
      <c r="BN10" s="127">
        <f>BM10*(1-Grunddaten!$D$13)</f>
        <v>599.63919231073635</v>
      </c>
      <c r="BO10" s="127">
        <f>BN10*(1-Grunddaten!$D$13)</f>
        <v>597.84027473380411</v>
      </c>
      <c r="BP10" s="127">
        <f>BO10*(1-Grunddaten!$D$13)</f>
        <v>596.04675390960267</v>
      </c>
      <c r="BQ10" s="127">
        <f>BP10*(1-Grunddaten!$D$13)</f>
        <v>594.25861364787386</v>
      </c>
      <c r="BR10" s="127">
        <f>BQ10*(1-Grunddaten!$D$13)</f>
        <v>592.47583780693026</v>
      </c>
      <c r="BS10" s="127">
        <f>BR10*(1-Grunddaten!$D$13)</f>
        <v>590.69841029350948</v>
      </c>
      <c r="BT10" s="127">
        <f>BS10*(1-Grunddaten!$D$13)</f>
        <v>588.92631506262899</v>
      </c>
      <c r="BU10" s="127">
        <f>BT10*(1-Grunddaten!$D$13)</f>
        <v>587.15953611744112</v>
      </c>
      <c r="BV10" s="127">
        <f>BU10*(1-Grunddaten!$D$13)</f>
        <v>585.39805750908874</v>
      </c>
      <c r="BW10" s="127">
        <f>BV10*(1-Grunddaten!$D$13)</f>
        <v>583.64186333656153</v>
      </c>
      <c r="BX10" s="127">
        <f>BW10*(1-Grunddaten!$D$13)</f>
        <v>581.8909377465518</v>
      </c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53"/>
      <c r="CJ10" s="53"/>
      <c r="CK10" s="53"/>
      <c r="CL10" s="53"/>
      <c r="CM10" s="53"/>
    </row>
    <row r="11" spans="1:91" ht="13">
      <c r="A11" s="16">
        <f t="shared" si="8"/>
        <v>2016</v>
      </c>
      <c r="B11" s="29">
        <f>Grunddaten!C32</f>
        <v>0</v>
      </c>
      <c r="C11" s="29">
        <f>Grunddaten!D32</f>
        <v>0</v>
      </c>
      <c r="D11" s="29">
        <f>Grunddaten!E32</f>
        <v>0</v>
      </c>
      <c r="E11" s="29">
        <f>Grunddaten!F32</f>
        <v>0</v>
      </c>
      <c r="F11" s="29">
        <f>Grunddaten!G32</f>
        <v>0</v>
      </c>
      <c r="G11" s="29">
        <f>Grunddaten!H32</f>
        <v>0</v>
      </c>
      <c r="H11" s="29">
        <f>Grunddaten!I32</f>
        <v>0</v>
      </c>
      <c r="I11" s="29">
        <f>Grunddaten!J32</f>
        <v>0</v>
      </c>
      <c r="J11" s="29">
        <f>Grunddaten!K32</f>
        <v>0</v>
      </c>
      <c r="K11" s="29">
        <f>Grunddaten!L32</f>
        <v>0</v>
      </c>
      <c r="L11" s="29">
        <f>Grunddaten!M32</f>
        <v>0</v>
      </c>
      <c r="M11" s="29">
        <f>Grunddaten!N32</f>
        <v>0</v>
      </c>
      <c r="N11" s="40">
        <f t="shared" si="6"/>
        <v>0</v>
      </c>
      <c r="O11" s="40">
        <f t="shared" si="2"/>
        <v>0</v>
      </c>
      <c r="P11" s="75">
        <f t="shared" si="9"/>
        <v>-4679.1762194225958</v>
      </c>
      <c r="Q11" s="75">
        <f t="shared" si="3"/>
        <v>-2423.8132816609045</v>
      </c>
      <c r="R11" s="76">
        <f>100*Auswertung!N11/Jahres_Soll</f>
        <v>0</v>
      </c>
      <c r="S11" s="26">
        <f t="shared" si="10"/>
        <v>0</v>
      </c>
      <c r="T11" s="27">
        <f t="shared" si="7"/>
        <v>0</v>
      </c>
      <c r="U11" s="27">
        <f t="shared" si="4"/>
        <v>0</v>
      </c>
      <c r="V11" s="26">
        <f t="shared" si="5"/>
        <v>0</v>
      </c>
      <c r="X11" s="41"/>
      <c r="Y11" s="41"/>
      <c r="AD11" s="121"/>
      <c r="AE11" s="121" t="s">
        <v>25</v>
      </c>
      <c r="AF11" s="128">
        <f>J4</f>
        <v>0</v>
      </c>
      <c r="AG11" s="121">
        <f>Grunddaten!K21</f>
        <v>421.80000000000007</v>
      </c>
      <c r="AH11" s="128"/>
      <c r="AI11" s="121" t="s">
        <v>25</v>
      </c>
      <c r="AJ11" s="128">
        <f>J6</f>
        <v>0</v>
      </c>
      <c r="AK11" s="128">
        <f>J7</f>
        <v>0</v>
      </c>
      <c r="AL11" s="128">
        <f>J8</f>
        <v>0</v>
      </c>
      <c r="AM11" s="128">
        <f>J9</f>
        <v>0</v>
      </c>
      <c r="AN11" s="128">
        <f>J10</f>
        <v>0</v>
      </c>
      <c r="AO11" s="128">
        <f>J11</f>
        <v>0</v>
      </c>
      <c r="AP11" s="128">
        <f>J12</f>
        <v>0</v>
      </c>
      <c r="AQ11" s="128">
        <f>J13</f>
        <v>0</v>
      </c>
      <c r="AR11" s="128">
        <f>J14</f>
        <v>0</v>
      </c>
      <c r="AS11" s="128">
        <f>J15</f>
        <v>0</v>
      </c>
      <c r="AT11" s="128">
        <f>J16</f>
        <v>0</v>
      </c>
      <c r="AU11" s="128">
        <f>J17</f>
        <v>0</v>
      </c>
      <c r="AV11" s="128">
        <f>J18</f>
        <v>0</v>
      </c>
      <c r="AW11" s="128">
        <f>J19</f>
        <v>0</v>
      </c>
      <c r="AX11" s="128">
        <f>J20</f>
        <v>0</v>
      </c>
      <c r="AY11" s="128">
        <f>J21</f>
        <v>0</v>
      </c>
      <c r="AZ11" s="128">
        <f>J22</f>
        <v>0</v>
      </c>
      <c r="BA11" s="128">
        <f>J23</f>
        <v>0</v>
      </c>
      <c r="BB11" s="128">
        <f>J24</f>
        <v>0</v>
      </c>
      <c r="BC11" s="128">
        <f>J25</f>
        <v>0</v>
      </c>
      <c r="BD11" s="121"/>
      <c r="BE11" s="127">
        <f t="shared" si="1"/>
        <v>421.80000000000007</v>
      </c>
      <c r="BF11" s="127">
        <f>BE11*(1-Grunddaten!$D$13)</f>
        <v>420.53460000000007</v>
      </c>
      <c r="BG11" s="127">
        <f>BF11*(1-Grunddaten!$D$13)</f>
        <v>419.27299620000008</v>
      </c>
      <c r="BH11" s="127">
        <f>BG11*(1-Grunddaten!$D$13)</f>
        <v>418.0151772114001</v>
      </c>
      <c r="BI11" s="127">
        <f>BH11*(1-Grunddaten!$D$13)</f>
        <v>416.76113167976592</v>
      </c>
      <c r="BJ11" s="127">
        <f>BI11*(1-Grunddaten!$D$13)</f>
        <v>415.51084828472665</v>
      </c>
      <c r="BK11" s="127">
        <f>BJ11*(1-Grunddaten!$D$13)</f>
        <v>414.26431573987247</v>
      </c>
      <c r="BL11" s="127">
        <f>BK11*(1-Grunddaten!$D$13)</f>
        <v>413.02152279265283</v>
      </c>
      <c r="BM11" s="127">
        <f>BL11*(1-Grunddaten!$D$13)</f>
        <v>411.78245822427488</v>
      </c>
      <c r="BN11" s="127">
        <f>BM11*(1-Grunddaten!$D$13)</f>
        <v>410.54711084960206</v>
      </c>
      <c r="BO11" s="127">
        <f>BN11*(1-Grunddaten!$D$13)</f>
        <v>409.31546951705326</v>
      </c>
      <c r="BP11" s="127">
        <f>BO11*(1-Grunddaten!$D$13)</f>
        <v>408.08752310850213</v>
      </c>
      <c r="BQ11" s="127">
        <f>BP11*(1-Grunddaten!$D$13)</f>
        <v>406.86326053917662</v>
      </c>
      <c r="BR11" s="127">
        <f>BQ11*(1-Grunddaten!$D$13)</f>
        <v>405.64267075755907</v>
      </c>
      <c r="BS11" s="127">
        <f>BR11*(1-Grunddaten!$D$13)</f>
        <v>404.42574274528641</v>
      </c>
      <c r="BT11" s="127">
        <f>BS11*(1-Grunddaten!$D$13)</f>
        <v>403.21246551705053</v>
      </c>
      <c r="BU11" s="127">
        <f>BT11*(1-Grunddaten!$D$13)</f>
        <v>402.00282812049937</v>
      </c>
      <c r="BV11" s="127">
        <f>BU11*(1-Grunddaten!$D$13)</f>
        <v>400.79681963613785</v>
      </c>
      <c r="BW11" s="127">
        <f>BV11*(1-Grunddaten!$D$13)</f>
        <v>399.59442917722942</v>
      </c>
      <c r="BX11" s="127">
        <f>BW11*(1-Grunddaten!$D$13)</f>
        <v>398.39564588969773</v>
      </c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53"/>
      <c r="CJ11" s="53"/>
      <c r="CK11" s="53"/>
      <c r="CL11" s="53"/>
      <c r="CM11" s="53"/>
    </row>
    <row r="12" spans="1:91" ht="13">
      <c r="A12" s="16">
        <f t="shared" si="8"/>
        <v>2017</v>
      </c>
      <c r="B12" s="29">
        <f>Grunddaten!C33</f>
        <v>0</v>
      </c>
      <c r="C12" s="29">
        <f>Grunddaten!D33</f>
        <v>0</v>
      </c>
      <c r="D12" s="29">
        <f>Grunddaten!E33</f>
        <v>0</v>
      </c>
      <c r="E12" s="29">
        <f>Grunddaten!F33</f>
        <v>0</v>
      </c>
      <c r="F12" s="29">
        <f>Grunddaten!G33</f>
        <v>0</v>
      </c>
      <c r="G12" s="29">
        <f>Grunddaten!H33</f>
        <v>0</v>
      </c>
      <c r="H12" s="29">
        <f>Grunddaten!I33</f>
        <v>0</v>
      </c>
      <c r="I12" s="29">
        <f>Grunddaten!J33</f>
        <v>0</v>
      </c>
      <c r="J12" s="29">
        <f>Grunddaten!K33</f>
        <v>0</v>
      </c>
      <c r="K12" s="29">
        <f>Grunddaten!L33</f>
        <v>0</v>
      </c>
      <c r="L12" s="29">
        <f>Grunddaten!M33</f>
        <v>0</v>
      </c>
      <c r="M12" s="29">
        <f>Grunddaten!N33</f>
        <v>0</v>
      </c>
      <c r="N12" s="40">
        <f t="shared" si="6"/>
        <v>0</v>
      </c>
      <c r="O12" s="40">
        <f t="shared" si="2"/>
        <v>0</v>
      </c>
      <c r="P12" s="75">
        <f t="shared" si="9"/>
        <v>-4665.1386907643282</v>
      </c>
      <c r="Q12" s="75">
        <f t="shared" si="3"/>
        <v>-2416.541841815922</v>
      </c>
      <c r="R12" s="76">
        <f>100*Auswertung!N12/Jahres_Soll</f>
        <v>0</v>
      </c>
      <c r="S12" s="26">
        <f t="shared" si="10"/>
        <v>0</v>
      </c>
      <c r="T12" s="27">
        <f t="shared" si="7"/>
        <v>0</v>
      </c>
      <c r="U12" s="27">
        <f t="shared" si="4"/>
        <v>0</v>
      </c>
      <c r="V12" s="26">
        <f t="shared" si="5"/>
        <v>0</v>
      </c>
      <c r="X12" s="41"/>
      <c r="Y12" s="41"/>
      <c r="AD12" s="121"/>
      <c r="AE12" s="121" t="s">
        <v>26</v>
      </c>
      <c r="AF12" s="128">
        <f>K4</f>
        <v>0</v>
      </c>
      <c r="AG12" s="121">
        <f>Grunddaten!L21</f>
        <v>247.95</v>
      </c>
      <c r="AH12" s="128"/>
      <c r="AI12" s="121" t="s">
        <v>26</v>
      </c>
      <c r="AJ12" s="128">
        <f>K6</f>
        <v>0</v>
      </c>
      <c r="AK12" s="128">
        <f>K7</f>
        <v>0</v>
      </c>
      <c r="AL12" s="128">
        <f>K8</f>
        <v>0</v>
      </c>
      <c r="AM12" s="128">
        <f>K9</f>
        <v>0</v>
      </c>
      <c r="AN12" s="128">
        <f>K10</f>
        <v>0</v>
      </c>
      <c r="AO12" s="128">
        <f>K11</f>
        <v>0</v>
      </c>
      <c r="AP12" s="128">
        <f>K12</f>
        <v>0</v>
      </c>
      <c r="AQ12" s="128">
        <f>K13</f>
        <v>0</v>
      </c>
      <c r="AR12" s="128">
        <f>K14</f>
        <v>0</v>
      </c>
      <c r="AS12" s="128">
        <f>K15</f>
        <v>0</v>
      </c>
      <c r="AT12" s="128">
        <f>K16</f>
        <v>0</v>
      </c>
      <c r="AU12" s="128">
        <f>K17</f>
        <v>0</v>
      </c>
      <c r="AV12" s="128">
        <f>K18</f>
        <v>0</v>
      </c>
      <c r="AW12" s="128">
        <f>K19</f>
        <v>0</v>
      </c>
      <c r="AX12" s="128">
        <f>K20</f>
        <v>0</v>
      </c>
      <c r="AY12" s="128">
        <f>K21</f>
        <v>0</v>
      </c>
      <c r="AZ12" s="128">
        <f>K22</f>
        <v>0</v>
      </c>
      <c r="BA12" s="128">
        <f>K23</f>
        <v>0</v>
      </c>
      <c r="BB12" s="128">
        <f>K24</f>
        <v>0</v>
      </c>
      <c r="BC12" s="128">
        <f>K25</f>
        <v>0</v>
      </c>
      <c r="BD12" s="121"/>
      <c r="BE12" s="127">
        <f t="shared" si="1"/>
        <v>247.95</v>
      </c>
      <c r="BF12" s="127">
        <f>BE12*(1-Grunddaten!$D$13)</f>
        <v>247.20614999999998</v>
      </c>
      <c r="BG12" s="127">
        <f>BF12*(1-Grunddaten!$D$13)</f>
        <v>246.46453154999998</v>
      </c>
      <c r="BH12" s="127">
        <f>BG12*(1-Grunddaten!$D$13)</f>
        <v>245.72513795534996</v>
      </c>
      <c r="BI12" s="127">
        <f>BH12*(1-Grunddaten!$D$13)</f>
        <v>244.98796254148391</v>
      </c>
      <c r="BJ12" s="127">
        <f>BI12*(1-Grunddaten!$D$13)</f>
        <v>244.25299865385946</v>
      </c>
      <c r="BK12" s="127">
        <f>BJ12*(1-Grunddaten!$D$13)</f>
        <v>243.52023965789789</v>
      </c>
      <c r="BL12" s="127">
        <f>BK12*(1-Grunddaten!$D$13)</f>
        <v>242.7896789389242</v>
      </c>
      <c r="BM12" s="127">
        <f>BL12*(1-Grunddaten!$D$13)</f>
        <v>242.06130990210741</v>
      </c>
      <c r="BN12" s="127">
        <f>BM12*(1-Grunddaten!$D$13)</f>
        <v>241.3351259724011</v>
      </c>
      <c r="BO12" s="127">
        <f>BN12*(1-Grunddaten!$D$13)</f>
        <v>240.61112059448391</v>
      </c>
      <c r="BP12" s="127">
        <f>BO12*(1-Grunddaten!$D$13)</f>
        <v>239.88928723270047</v>
      </c>
      <c r="BQ12" s="127">
        <f>BP12*(1-Grunddaten!$D$13)</f>
        <v>239.16961937100237</v>
      </c>
      <c r="BR12" s="127">
        <f>BQ12*(1-Grunddaten!$D$13)</f>
        <v>238.45211051288936</v>
      </c>
      <c r="BS12" s="127">
        <f>BR12*(1-Grunddaten!$D$13)</f>
        <v>237.7367541813507</v>
      </c>
      <c r="BT12" s="127">
        <f>BS12*(1-Grunddaten!$D$13)</f>
        <v>237.02354391880664</v>
      </c>
      <c r="BU12" s="127">
        <f>BT12*(1-Grunddaten!$D$13)</f>
        <v>236.31247328705021</v>
      </c>
      <c r="BV12" s="127">
        <f>BU12*(1-Grunddaten!$D$13)</f>
        <v>235.60353586718907</v>
      </c>
      <c r="BW12" s="127">
        <f>BV12*(1-Grunddaten!$D$13)</f>
        <v>234.8967252595875</v>
      </c>
      <c r="BX12" s="127">
        <f>BW12*(1-Grunddaten!$D$13)</f>
        <v>234.19203508380875</v>
      </c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53"/>
      <c r="CJ12" s="53"/>
      <c r="CK12" s="53"/>
      <c r="CL12" s="53"/>
      <c r="CM12" s="53"/>
    </row>
    <row r="13" spans="1:91" ht="13">
      <c r="A13" s="16">
        <f t="shared" si="8"/>
        <v>2018</v>
      </c>
      <c r="B13" s="29">
        <f>Grunddaten!C34</f>
        <v>0</v>
      </c>
      <c r="C13" s="29">
        <f>Grunddaten!D34</f>
        <v>0</v>
      </c>
      <c r="D13" s="29">
        <f>Grunddaten!E34</f>
        <v>0</v>
      </c>
      <c r="E13" s="29">
        <f>Grunddaten!F34</f>
        <v>0</v>
      </c>
      <c r="F13" s="29">
        <f>Grunddaten!G34</f>
        <v>0</v>
      </c>
      <c r="G13" s="29">
        <f>Grunddaten!H34</f>
        <v>0</v>
      </c>
      <c r="H13" s="29">
        <f>Grunddaten!I34</f>
        <v>0</v>
      </c>
      <c r="I13" s="29">
        <f>Grunddaten!J34</f>
        <v>0</v>
      </c>
      <c r="J13" s="29">
        <f>Grunddaten!K34</f>
        <v>0</v>
      </c>
      <c r="K13" s="29">
        <f>Grunddaten!L34</f>
        <v>0</v>
      </c>
      <c r="L13" s="29">
        <f>Grunddaten!M34</f>
        <v>0</v>
      </c>
      <c r="M13" s="29">
        <f>Grunddaten!N34</f>
        <v>0</v>
      </c>
      <c r="N13" s="40">
        <f t="shared" si="6"/>
        <v>0</v>
      </c>
      <c r="O13" s="40">
        <f t="shared" si="2"/>
        <v>0</v>
      </c>
      <c r="P13" s="75">
        <f t="shared" si="9"/>
        <v>-4651.1432746920354</v>
      </c>
      <c r="Q13" s="75">
        <f t="shared" si="3"/>
        <v>-2409.2922162904742</v>
      </c>
      <c r="R13" s="76">
        <f>100*Auswertung!N13/Jahres_Soll</f>
        <v>0</v>
      </c>
      <c r="S13" s="26">
        <f t="shared" si="10"/>
        <v>0</v>
      </c>
      <c r="T13" s="27">
        <f t="shared" si="7"/>
        <v>0</v>
      </c>
      <c r="U13" s="27">
        <f t="shared" si="4"/>
        <v>0</v>
      </c>
      <c r="V13" s="26">
        <f t="shared" si="5"/>
        <v>0</v>
      </c>
      <c r="X13" s="41"/>
      <c r="Y13" s="41"/>
      <c r="AD13" s="121"/>
      <c r="AE13" s="121" t="s">
        <v>27</v>
      </c>
      <c r="AF13" s="128">
        <f>L4</f>
        <v>0</v>
      </c>
      <c r="AG13" s="121">
        <f>Grunddaten!M21</f>
        <v>136.80000000000001</v>
      </c>
      <c r="AH13" s="128"/>
      <c r="AI13" s="121" t="s">
        <v>27</v>
      </c>
      <c r="AJ13" s="128">
        <f>L6</f>
        <v>0</v>
      </c>
      <c r="AK13" s="128">
        <f>L7</f>
        <v>0</v>
      </c>
      <c r="AL13" s="128">
        <f>L8</f>
        <v>0</v>
      </c>
      <c r="AM13" s="128">
        <f>L9</f>
        <v>0</v>
      </c>
      <c r="AN13" s="128">
        <f>L10</f>
        <v>0</v>
      </c>
      <c r="AO13" s="128">
        <f>L11</f>
        <v>0</v>
      </c>
      <c r="AP13" s="128">
        <f>L12</f>
        <v>0</v>
      </c>
      <c r="AQ13" s="128">
        <f>L13</f>
        <v>0</v>
      </c>
      <c r="AR13" s="128">
        <f>L14</f>
        <v>0</v>
      </c>
      <c r="AS13" s="128">
        <f>L15</f>
        <v>0</v>
      </c>
      <c r="AT13" s="128">
        <f>L16</f>
        <v>0</v>
      </c>
      <c r="AU13" s="128">
        <f>L17</f>
        <v>0</v>
      </c>
      <c r="AV13" s="128">
        <f>L18</f>
        <v>0</v>
      </c>
      <c r="AW13" s="128">
        <f>L19</f>
        <v>0</v>
      </c>
      <c r="AX13" s="128">
        <f>L20</f>
        <v>0</v>
      </c>
      <c r="AY13" s="128">
        <f>L21</f>
        <v>0</v>
      </c>
      <c r="AZ13" s="128">
        <f>L22</f>
        <v>0</v>
      </c>
      <c r="BA13" s="128">
        <f>L23</f>
        <v>0</v>
      </c>
      <c r="BB13" s="128">
        <f>L24</f>
        <v>0</v>
      </c>
      <c r="BC13" s="128">
        <f>L25</f>
        <v>0</v>
      </c>
      <c r="BD13" s="121"/>
      <c r="BE13" s="127">
        <f t="shared" si="1"/>
        <v>136.80000000000001</v>
      </c>
      <c r="BF13" s="127">
        <f>BE13*(1-Grunddaten!$D$13)</f>
        <v>136.3896</v>
      </c>
      <c r="BG13" s="127">
        <f>BF13*(1-Grunddaten!$D$13)</f>
        <v>135.9804312</v>
      </c>
      <c r="BH13" s="127">
        <f>BG13*(1-Grunddaten!$D$13)</f>
        <v>135.57248990639999</v>
      </c>
      <c r="BI13" s="127">
        <f>BH13*(1-Grunddaten!$D$13)</f>
        <v>135.16577243668078</v>
      </c>
      <c r="BJ13" s="127">
        <f>BI13*(1-Grunddaten!$D$13)</f>
        <v>134.76027511937073</v>
      </c>
      <c r="BK13" s="127">
        <f>BJ13*(1-Grunddaten!$D$13)</f>
        <v>134.35599429401262</v>
      </c>
      <c r="BL13" s="127">
        <f>BK13*(1-Grunddaten!$D$13)</f>
        <v>133.95292631113057</v>
      </c>
      <c r="BM13" s="127">
        <f>BL13*(1-Grunddaten!$D$13)</f>
        <v>133.55106753219718</v>
      </c>
      <c r="BN13" s="127">
        <f>BM13*(1-Grunddaten!$D$13)</f>
        <v>133.15041432960058</v>
      </c>
      <c r="BO13" s="127">
        <f>BN13*(1-Grunddaten!$D$13)</f>
        <v>132.75096308661179</v>
      </c>
      <c r="BP13" s="127">
        <f>BO13*(1-Grunddaten!$D$13)</f>
        <v>132.35271019735197</v>
      </c>
      <c r="BQ13" s="127">
        <f>BP13*(1-Grunddaten!$D$13)</f>
        <v>131.95565206675991</v>
      </c>
      <c r="BR13" s="127">
        <f>BQ13*(1-Grunddaten!$D$13)</f>
        <v>131.55978511055963</v>
      </c>
      <c r="BS13" s="127">
        <f>BR13*(1-Grunddaten!$D$13)</f>
        <v>131.16510575522796</v>
      </c>
      <c r="BT13" s="127">
        <f>BS13*(1-Grunddaten!$D$13)</f>
        <v>130.77161043796227</v>
      </c>
      <c r="BU13" s="127">
        <f>BT13*(1-Grunddaten!$D$13)</f>
        <v>130.37929560664838</v>
      </c>
      <c r="BV13" s="127">
        <f>BU13*(1-Grunddaten!$D$13)</f>
        <v>129.98815771982845</v>
      </c>
      <c r="BW13" s="127">
        <f>BV13*(1-Grunddaten!$D$13)</f>
        <v>129.59819324666896</v>
      </c>
      <c r="BX13" s="127">
        <f>BW13*(1-Grunddaten!$D$13)</f>
        <v>129.20939866692896</v>
      </c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53"/>
      <c r="CJ13" s="53"/>
      <c r="CK13" s="53"/>
      <c r="CL13" s="53"/>
      <c r="CM13" s="53"/>
    </row>
    <row r="14" spans="1:91" ht="13">
      <c r="A14" s="16">
        <f t="shared" si="8"/>
        <v>2019</v>
      </c>
      <c r="B14" s="29">
        <f>Grunddaten!C35</f>
        <v>0</v>
      </c>
      <c r="C14" s="29">
        <f>Grunddaten!D35</f>
        <v>0</v>
      </c>
      <c r="D14" s="29">
        <f>Grunddaten!E35</f>
        <v>0</v>
      </c>
      <c r="E14" s="29">
        <f>Grunddaten!F35</f>
        <v>0</v>
      </c>
      <c r="F14" s="29">
        <f>Grunddaten!G35</f>
        <v>0</v>
      </c>
      <c r="G14" s="29">
        <f>Grunddaten!H35</f>
        <v>0</v>
      </c>
      <c r="H14" s="29">
        <f>Grunddaten!I35</f>
        <v>0</v>
      </c>
      <c r="I14" s="29">
        <f>Grunddaten!J35</f>
        <v>0</v>
      </c>
      <c r="J14" s="29">
        <f>Grunddaten!K35</f>
        <v>0</v>
      </c>
      <c r="K14" s="29">
        <f>Grunddaten!L35</f>
        <v>0</v>
      </c>
      <c r="L14" s="29">
        <f>Grunddaten!M35</f>
        <v>0</v>
      </c>
      <c r="M14" s="29">
        <f>Grunddaten!N35</f>
        <v>0</v>
      </c>
      <c r="N14" s="40">
        <f t="shared" si="6"/>
        <v>0</v>
      </c>
      <c r="O14" s="40">
        <f t="shared" si="2"/>
        <v>0</v>
      </c>
      <c r="P14" s="75">
        <f t="shared" si="9"/>
        <v>-4637.1898448679594</v>
      </c>
      <c r="Q14" s="75">
        <f t="shared" si="3"/>
        <v>-2402.0643396416031</v>
      </c>
      <c r="R14" s="76">
        <f>100*Auswertung!N14/Jahres_Soll</f>
        <v>0</v>
      </c>
      <c r="S14" s="26">
        <f t="shared" si="10"/>
        <v>0</v>
      </c>
      <c r="T14" s="27">
        <f t="shared" si="7"/>
        <v>0</v>
      </c>
      <c r="U14" s="27">
        <f t="shared" si="4"/>
        <v>0</v>
      </c>
      <c r="V14" s="26">
        <f t="shared" si="5"/>
        <v>0</v>
      </c>
      <c r="X14" s="41"/>
      <c r="Y14" s="41"/>
      <c r="AD14" s="121"/>
      <c r="AE14" s="121" t="s">
        <v>28</v>
      </c>
      <c r="AF14" s="128">
        <f>M4</f>
        <v>0</v>
      </c>
      <c r="AG14" s="121">
        <f>Grunddaten!N21</f>
        <v>97.375</v>
      </c>
      <c r="AH14" s="128"/>
      <c r="AI14" s="121" t="s">
        <v>28</v>
      </c>
      <c r="AJ14" s="128">
        <f>M6</f>
        <v>0</v>
      </c>
      <c r="AK14" s="128">
        <f>M7</f>
        <v>0</v>
      </c>
      <c r="AL14" s="128">
        <f>M8</f>
        <v>0</v>
      </c>
      <c r="AM14" s="128">
        <f>M9</f>
        <v>0</v>
      </c>
      <c r="AN14" s="128">
        <f>M10</f>
        <v>0</v>
      </c>
      <c r="AO14" s="128">
        <f>M11</f>
        <v>0</v>
      </c>
      <c r="AP14" s="128">
        <f>M12</f>
        <v>0</v>
      </c>
      <c r="AQ14" s="128">
        <f>M13</f>
        <v>0</v>
      </c>
      <c r="AR14" s="128">
        <f>M14</f>
        <v>0</v>
      </c>
      <c r="AS14" s="128">
        <f>M15</f>
        <v>0</v>
      </c>
      <c r="AT14" s="128">
        <f>M16</f>
        <v>0</v>
      </c>
      <c r="AU14" s="128">
        <f>M17</f>
        <v>0</v>
      </c>
      <c r="AV14" s="128">
        <f>M18</f>
        <v>0</v>
      </c>
      <c r="AW14" s="128">
        <f>M19</f>
        <v>0</v>
      </c>
      <c r="AX14" s="128">
        <f>M20</f>
        <v>0</v>
      </c>
      <c r="AY14" s="128">
        <f>M21</f>
        <v>0</v>
      </c>
      <c r="AZ14" s="128">
        <f>M22</f>
        <v>0</v>
      </c>
      <c r="BA14" s="128">
        <f>M23</f>
        <v>0</v>
      </c>
      <c r="BB14" s="128">
        <f>M24</f>
        <v>0</v>
      </c>
      <c r="BC14" s="128">
        <f>M25</f>
        <v>0</v>
      </c>
      <c r="BD14" s="121"/>
      <c r="BE14" s="127">
        <f t="shared" si="1"/>
        <v>97.375</v>
      </c>
      <c r="BF14" s="127">
        <f>BE14*(1-Grunddaten!$D$13)</f>
        <v>97.082875000000001</v>
      </c>
      <c r="BG14" s="127">
        <f>BF14*(1-Grunddaten!$D$13)</f>
        <v>96.791626375000007</v>
      </c>
      <c r="BH14" s="127">
        <f>BG14*(1-Grunddaten!$D$13)</f>
        <v>96.50125149587501</v>
      </c>
      <c r="BI14" s="127">
        <f>BH14*(1-Grunddaten!$D$13)</f>
        <v>96.211747741387384</v>
      </c>
      <c r="BJ14" s="127">
        <f>BI14*(1-Grunddaten!$D$13)</f>
        <v>95.923112498163221</v>
      </c>
      <c r="BK14" s="127">
        <f>BJ14*(1-Grunddaten!$D$13)</f>
        <v>95.635343160668725</v>
      </c>
      <c r="BL14" s="127">
        <f>BK14*(1-Grunddaten!$D$13)</f>
        <v>95.348437131186714</v>
      </c>
      <c r="BM14" s="127">
        <f>BL14*(1-Grunddaten!$D$13)</f>
        <v>95.062391819793149</v>
      </c>
      <c r="BN14" s="127">
        <f>BM14*(1-Grunddaten!$D$13)</f>
        <v>94.777204644333764</v>
      </c>
      <c r="BO14" s="127">
        <f>BN14*(1-Grunddaten!$D$13)</f>
        <v>94.492873030400759</v>
      </c>
      <c r="BP14" s="127">
        <f>BO14*(1-Grunddaten!$D$13)</f>
        <v>94.20939441130956</v>
      </c>
      <c r="BQ14" s="127">
        <f>BP14*(1-Grunddaten!$D$13)</f>
        <v>93.926766228075635</v>
      </c>
      <c r="BR14" s="127">
        <f>BQ14*(1-Grunddaten!$D$13)</f>
        <v>93.64498592939141</v>
      </c>
      <c r="BS14" s="127">
        <f>BR14*(1-Grunddaten!$D$13)</f>
        <v>93.364050971603234</v>
      </c>
      <c r="BT14" s="127">
        <f>BS14*(1-Grunddaten!$D$13)</f>
        <v>93.08395881868843</v>
      </c>
      <c r="BU14" s="127">
        <f>BT14*(1-Grunddaten!$D$13)</f>
        <v>92.804706942232357</v>
      </c>
      <c r="BV14" s="127">
        <f>BU14*(1-Grunddaten!$D$13)</f>
        <v>92.526292821405661</v>
      </c>
      <c r="BW14" s="127">
        <f>BV14*(1-Grunddaten!$D$13)</f>
        <v>92.24871394294145</v>
      </c>
      <c r="BX14" s="127">
        <f>BW14*(1-Grunddaten!$D$13)</f>
        <v>91.971967801112626</v>
      </c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53"/>
      <c r="CJ14" s="53"/>
      <c r="CK14" s="53"/>
      <c r="CL14" s="53"/>
      <c r="CM14" s="53"/>
    </row>
    <row r="15" spans="1:91" ht="13">
      <c r="A15" s="16">
        <f t="shared" si="8"/>
        <v>2020</v>
      </c>
      <c r="B15" s="29">
        <f>Grunddaten!C36</f>
        <v>0</v>
      </c>
      <c r="C15" s="29">
        <f>Grunddaten!D36</f>
        <v>0</v>
      </c>
      <c r="D15" s="29">
        <f>Grunddaten!E36</f>
        <v>0</v>
      </c>
      <c r="E15" s="29">
        <f>Grunddaten!F36</f>
        <v>0</v>
      </c>
      <c r="F15" s="29">
        <f>Grunddaten!G36</f>
        <v>0</v>
      </c>
      <c r="G15" s="29">
        <f>Grunddaten!H36</f>
        <v>0</v>
      </c>
      <c r="H15" s="29">
        <f>Grunddaten!I36</f>
        <v>0</v>
      </c>
      <c r="I15" s="29">
        <f>Grunddaten!J36</f>
        <v>0</v>
      </c>
      <c r="J15" s="29">
        <f>Grunddaten!K36</f>
        <v>0</v>
      </c>
      <c r="K15" s="29">
        <f>Grunddaten!L36</f>
        <v>0</v>
      </c>
      <c r="L15" s="29">
        <f>Grunddaten!M36</f>
        <v>0</v>
      </c>
      <c r="M15" s="29">
        <f>Grunddaten!N36</f>
        <v>0</v>
      </c>
      <c r="N15" s="40">
        <f t="shared" si="6"/>
        <v>0</v>
      </c>
      <c r="O15" s="40">
        <f t="shared" si="2"/>
        <v>0</v>
      </c>
      <c r="P15" s="75">
        <f t="shared" si="9"/>
        <v>-4623.2782753333559</v>
      </c>
      <c r="Q15" s="75">
        <f t="shared" si="3"/>
        <v>-2394.8581466226783</v>
      </c>
      <c r="R15" s="76">
        <f>100*Auswertung!N15/Jahres_Soll</f>
        <v>0</v>
      </c>
      <c r="S15" s="26">
        <f t="shared" si="10"/>
        <v>0</v>
      </c>
      <c r="T15" s="27">
        <f t="shared" si="7"/>
        <v>0</v>
      </c>
      <c r="U15" s="27">
        <f t="shared" si="4"/>
        <v>0</v>
      </c>
      <c r="V15" s="26">
        <f t="shared" si="5"/>
        <v>0</v>
      </c>
      <c r="X15" s="41"/>
      <c r="Y15" s="4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53"/>
      <c r="CJ15" s="53"/>
      <c r="CK15" s="53"/>
      <c r="CL15" s="53"/>
      <c r="CM15" s="53"/>
    </row>
    <row r="16" spans="1:91" ht="13">
      <c r="A16" s="16">
        <f t="shared" si="8"/>
        <v>2021</v>
      </c>
      <c r="B16" s="29">
        <f>Grunddaten!C37</f>
        <v>0</v>
      </c>
      <c r="C16" s="29">
        <f>Grunddaten!D37</f>
        <v>0</v>
      </c>
      <c r="D16" s="29">
        <f>Grunddaten!E37</f>
        <v>0</v>
      </c>
      <c r="E16" s="29">
        <f>Grunddaten!F37</f>
        <v>0</v>
      </c>
      <c r="F16" s="29">
        <f>Grunddaten!G37</f>
        <v>0</v>
      </c>
      <c r="G16" s="29">
        <f>Grunddaten!H37</f>
        <v>0</v>
      </c>
      <c r="H16" s="29">
        <f>Grunddaten!I37</f>
        <v>0</v>
      </c>
      <c r="I16" s="29">
        <f>Grunddaten!J37</f>
        <v>0</v>
      </c>
      <c r="J16" s="29">
        <f>Grunddaten!K37</f>
        <v>0</v>
      </c>
      <c r="K16" s="29">
        <f>Grunddaten!L37</f>
        <v>0</v>
      </c>
      <c r="L16" s="29">
        <f>Grunddaten!M37</f>
        <v>0</v>
      </c>
      <c r="M16" s="29">
        <f>Grunddaten!N37</f>
        <v>0</v>
      </c>
      <c r="N16" s="40">
        <f t="shared" si="6"/>
        <v>0</v>
      </c>
      <c r="O16" s="40">
        <f t="shared" si="2"/>
        <v>0</v>
      </c>
      <c r="P16" s="75">
        <f t="shared" si="9"/>
        <v>-4609.4084405073554</v>
      </c>
      <c r="Q16" s="75">
        <f t="shared" si="3"/>
        <v>-2387.6735721828099</v>
      </c>
      <c r="R16" s="76">
        <f>100*Auswertung!N16/Jahres_Soll</f>
        <v>0</v>
      </c>
      <c r="S16" s="26">
        <f t="shared" si="10"/>
        <v>0</v>
      </c>
      <c r="T16" s="27">
        <f t="shared" si="7"/>
        <v>0</v>
      </c>
      <c r="U16" s="27">
        <f t="shared" si="4"/>
        <v>0</v>
      </c>
      <c r="V16" s="26">
        <f t="shared" si="5"/>
        <v>0</v>
      </c>
      <c r="X16" s="41"/>
      <c r="Y16" s="4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53"/>
      <c r="CJ16" s="53"/>
      <c r="CK16" s="53"/>
      <c r="CL16" s="53"/>
      <c r="CM16" s="53"/>
    </row>
    <row r="17" spans="1:91" ht="13">
      <c r="A17" s="16">
        <f t="shared" si="8"/>
        <v>2022</v>
      </c>
      <c r="B17" s="29">
        <f>Grunddaten!C38</f>
        <v>0</v>
      </c>
      <c r="C17" s="29">
        <f>Grunddaten!D38</f>
        <v>0</v>
      </c>
      <c r="D17" s="29">
        <f>Grunddaten!E38</f>
        <v>0</v>
      </c>
      <c r="E17" s="29">
        <f>Grunddaten!F38</f>
        <v>0</v>
      </c>
      <c r="F17" s="29">
        <f>Grunddaten!G38</f>
        <v>0</v>
      </c>
      <c r="G17" s="29">
        <f>Grunddaten!H38</f>
        <v>0</v>
      </c>
      <c r="H17" s="29">
        <f>Grunddaten!I38</f>
        <v>0</v>
      </c>
      <c r="I17" s="29">
        <f>Grunddaten!J38</f>
        <v>0</v>
      </c>
      <c r="J17" s="29">
        <f>Grunddaten!K38</f>
        <v>0</v>
      </c>
      <c r="K17" s="29">
        <f>Grunddaten!L38</f>
        <v>0</v>
      </c>
      <c r="L17" s="29">
        <f>Grunddaten!M38</f>
        <v>0</v>
      </c>
      <c r="M17" s="29">
        <f>Grunddaten!N38</f>
        <v>0</v>
      </c>
      <c r="N17" s="40">
        <f t="shared" si="6"/>
        <v>0</v>
      </c>
      <c r="O17" s="40">
        <f t="shared" si="2"/>
        <v>0</v>
      </c>
      <c r="P17" s="75">
        <f t="shared" si="9"/>
        <v>-4595.5802151858334</v>
      </c>
      <c r="Q17" s="75">
        <f t="shared" si="3"/>
        <v>-2380.5105514662619</v>
      </c>
      <c r="R17" s="76">
        <f>100*Auswertung!N17/Jahres_Soll</f>
        <v>0</v>
      </c>
      <c r="S17" s="26">
        <f t="shared" si="10"/>
        <v>0</v>
      </c>
      <c r="T17" s="27">
        <f t="shared" si="7"/>
        <v>0</v>
      </c>
      <c r="U17" s="27">
        <f t="shared" si="4"/>
        <v>0</v>
      </c>
      <c r="V17" s="26">
        <f t="shared" si="5"/>
        <v>0</v>
      </c>
      <c r="X17" s="41"/>
      <c r="Y17" s="4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53"/>
      <c r="CJ17" s="53"/>
      <c r="CK17" s="53"/>
      <c r="CL17" s="53"/>
      <c r="CM17" s="53"/>
    </row>
    <row r="18" spans="1:91" ht="13">
      <c r="A18" s="16">
        <f t="shared" si="8"/>
        <v>2023</v>
      </c>
      <c r="B18" s="29">
        <f>Grunddaten!C39</f>
        <v>0</v>
      </c>
      <c r="C18" s="29">
        <f>Grunddaten!D39</f>
        <v>0</v>
      </c>
      <c r="D18" s="29">
        <f>Grunddaten!E39</f>
        <v>0</v>
      </c>
      <c r="E18" s="29">
        <f>Grunddaten!F39</f>
        <v>0</v>
      </c>
      <c r="F18" s="29">
        <f>Grunddaten!G39</f>
        <v>0</v>
      </c>
      <c r="G18" s="29">
        <f>Grunddaten!H39</f>
        <v>0</v>
      </c>
      <c r="H18" s="29">
        <f>Grunddaten!I39</f>
        <v>0</v>
      </c>
      <c r="I18" s="29">
        <f>Grunddaten!J39</f>
        <v>0</v>
      </c>
      <c r="J18" s="29">
        <f>Grunddaten!K39</f>
        <v>0</v>
      </c>
      <c r="K18" s="29">
        <f>Grunddaten!L39</f>
        <v>0</v>
      </c>
      <c r="L18" s="29">
        <f>Grunddaten!M39</f>
        <v>0</v>
      </c>
      <c r="M18" s="29">
        <f>Grunddaten!N39</f>
        <v>0</v>
      </c>
      <c r="N18" s="40">
        <f t="shared" si="6"/>
        <v>0</v>
      </c>
      <c r="O18" s="40">
        <f t="shared" si="2"/>
        <v>0</v>
      </c>
      <c r="P18" s="75">
        <f t="shared" si="9"/>
        <v>-4581.7934745402763</v>
      </c>
      <c r="Q18" s="75">
        <f t="shared" si="3"/>
        <v>-2373.3690198118634</v>
      </c>
      <c r="R18" s="76">
        <f>100*Auswertung!N18/Jahres_Soll</f>
        <v>0</v>
      </c>
      <c r="S18" s="26">
        <f t="shared" si="10"/>
        <v>0</v>
      </c>
      <c r="T18" s="27">
        <f t="shared" si="7"/>
        <v>0</v>
      </c>
      <c r="U18" s="27">
        <f t="shared" si="4"/>
        <v>0</v>
      </c>
      <c r="V18" s="26">
        <f t="shared" si="5"/>
        <v>0</v>
      </c>
      <c r="X18" s="41"/>
      <c r="Y18" s="4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53"/>
      <c r="CJ18" s="53"/>
      <c r="CK18" s="53"/>
      <c r="CL18" s="53"/>
      <c r="CM18" s="53"/>
    </row>
    <row r="19" spans="1:91" ht="13">
      <c r="A19" s="16">
        <f t="shared" si="8"/>
        <v>2024</v>
      </c>
      <c r="B19" s="29">
        <f>Grunddaten!C40</f>
        <v>0</v>
      </c>
      <c r="C19" s="29">
        <f>Grunddaten!D40</f>
        <v>0</v>
      </c>
      <c r="D19" s="29">
        <f>Grunddaten!E40</f>
        <v>0</v>
      </c>
      <c r="E19" s="29">
        <f>Grunddaten!F40</f>
        <v>0</v>
      </c>
      <c r="F19" s="29">
        <f>Grunddaten!G40</f>
        <v>0</v>
      </c>
      <c r="G19" s="29">
        <f>Grunddaten!H40</f>
        <v>0</v>
      </c>
      <c r="H19" s="29">
        <f>Grunddaten!I40</f>
        <v>0</v>
      </c>
      <c r="I19" s="29">
        <f>Grunddaten!J40</f>
        <v>0</v>
      </c>
      <c r="J19" s="29">
        <f>Grunddaten!K40</f>
        <v>0</v>
      </c>
      <c r="K19" s="29">
        <f>Grunddaten!L40</f>
        <v>0</v>
      </c>
      <c r="L19" s="29">
        <f>Grunddaten!M40</f>
        <v>0</v>
      </c>
      <c r="M19" s="29">
        <f>Grunddaten!N40</f>
        <v>0</v>
      </c>
      <c r="N19" s="40">
        <f t="shared" si="6"/>
        <v>0</v>
      </c>
      <c r="O19" s="40">
        <f t="shared" si="2"/>
        <v>0</v>
      </c>
      <c r="P19" s="75">
        <f t="shared" si="9"/>
        <v>-4568.0480941166552</v>
      </c>
      <c r="Q19" s="75">
        <f t="shared" si="3"/>
        <v>-2366.2489127524273</v>
      </c>
      <c r="R19" s="76">
        <f>100*Auswertung!N19/Jahres_Soll</f>
        <v>0</v>
      </c>
      <c r="S19" s="26">
        <f t="shared" si="10"/>
        <v>0</v>
      </c>
      <c r="T19" s="27">
        <f t="shared" si="7"/>
        <v>0</v>
      </c>
      <c r="U19" s="27">
        <f t="shared" si="4"/>
        <v>0</v>
      </c>
      <c r="V19" s="26">
        <f t="shared" si="5"/>
        <v>0</v>
      </c>
      <c r="X19" s="41"/>
      <c r="Y19" s="41"/>
      <c r="BG19" s="126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53"/>
      <c r="CJ19" s="53"/>
      <c r="CK19" s="53"/>
      <c r="CL19" s="53"/>
      <c r="CM19" s="53"/>
    </row>
    <row r="20" spans="1:91" ht="13">
      <c r="A20" s="16">
        <f t="shared" si="8"/>
        <v>2025</v>
      </c>
      <c r="B20" s="29">
        <f>Grunddaten!C41</f>
        <v>0</v>
      </c>
      <c r="C20" s="29">
        <f>Grunddaten!D41</f>
        <v>0</v>
      </c>
      <c r="D20" s="29">
        <f>Grunddaten!E41</f>
        <v>0</v>
      </c>
      <c r="E20" s="29">
        <f>Grunddaten!F41</f>
        <v>0</v>
      </c>
      <c r="F20" s="29">
        <f>Grunddaten!G41</f>
        <v>0</v>
      </c>
      <c r="G20" s="29">
        <f>Grunddaten!H41</f>
        <v>0</v>
      </c>
      <c r="H20" s="29">
        <f>Grunddaten!I41</f>
        <v>0</v>
      </c>
      <c r="I20" s="29">
        <f>Grunddaten!J41</f>
        <v>0</v>
      </c>
      <c r="J20" s="29">
        <f>Grunddaten!K41</f>
        <v>0</v>
      </c>
      <c r="K20" s="29">
        <f>Grunddaten!L41</f>
        <v>0</v>
      </c>
      <c r="L20" s="29">
        <f>Grunddaten!M41</f>
        <v>0</v>
      </c>
      <c r="M20" s="29">
        <f>Grunddaten!N41</f>
        <v>0</v>
      </c>
      <c r="N20" s="40">
        <f t="shared" si="6"/>
        <v>0</v>
      </c>
      <c r="O20" s="40">
        <f t="shared" si="2"/>
        <v>0</v>
      </c>
      <c r="P20" s="75">
        <f t="shared" si="9"/>
        <v>-4554.343949834305</v>
      </c>
      <c r="Q20" s="75">
        <f t="shared" si="3"/>
        <v>-2359.1501660141703</v>
      </c>
      <c r="R20" s="76">
        <f>100*Auswertung!N20/Jahres_Soll</f>
        <v>0</v>
      </c>
      <c r="S20" s="26">
        <f t="shared" si="10"/>
        <v>0</v>
      </c>
      <c r="T20" s="27">
        <f t="shared" si="7"/>
        <v>0</v>
      </c>
      <c r="U20" s="27">
        <f t="shared" si="4"/>
        <v>0</v>
      </c>
      <c r="V20" s="26">
        <f t="shared" si="5"/>
        <v>0</v>
      </c>
      <c r="X20" s="41"/>
      <c r="Y20" s="41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51"/>
      <c r="CD20" s="51"/>
      <c r="CE20" s="51"/>
      <c r="CF20" s="51"/>
      <c r="CG20" s="51"/>
      <c r="CH20" s="53"/>
      <c r="CI20" s="53"/>
      <c r="CJ20" s="53"/>
      <c r="CK20" s="53"/>
      <c r="CL20" s="53"/>
      <c r="CM20" s="53"/>
    </row>
    <row r="21" spans="1:91" ht="13">
      <c r="A21" s="16">
        <f t="shared" si="8"/>
        <v>2026</v>
      </c>
      <c r="B21" s="29">
        <f>Grunddaten!C42</f>
        <v>0</v>
      </c>
      <c r="C21" s="29">
        <f>Grunddaten!D42</f>
        <v>0</v>
      </c>
      <c r="D21" s="29">
        <f>Grunddaten!E42</f>
        <v>0</v>
      </c>
      <c r="E21" s="29">
        <f>Grunddaten!F42</f>
        <v>0</v>
      </c>
      <c r="F21" s="29">
        <f>Grunddaten!G42</f>
        <v>0</v>
      </c>
      <c r="G21" s="29">
        <f>Grunddaten!H42</f>
        <v>0</v>
      </c>
      <c r="H21" s="29">
        <f>Grunddaten!I42</f>
        <v>0</v>
      </c>
      <c r="I21" s="29">
        <f>Grunddaten!J42</f>
        <v>0</v>
      </c>
      <c r="J21" s="29">
        <f>Grunddaten!K42</f>
        <v>0</v>
      </c>
      <c r="K21" s="29">
        <f>Grunddaten!L42</f>
        <v>0</v>
      </c>
      <c r="L21" s="29">
        <f>Grunddaten!M42</f>
        <v>0</v>
      </c>
      <c r="M21" s="29">
        <f>Grunddaten!N42</f>
        <v>0</v>
      </c>
      <c r="N21" s="40">
        <f t="shared" si="6"/>
        <v>0</v>
      </c>
      <c r="O21" s="40">
        <f t="shared" si="2"/>
        <v>0</v>
      </c>
      <c r="P21" s="75">
        <f t="shared" si="9"/>
        <v>-4540.6809179848024</v>
      </c>
      <c r="Q21" s="75">
        <f t="shared" si="3"/>
        <v>-2352.0727155161276</v>
      </c>
      <c r="R21" s="76">
        <f>100*Auswertung!N21/Jahres_Soll</f>
        <v>0</v>
      </c>
      <c r="S21" s="26">
        <f t="shared" si="10"/>
        <v>0</v>
      </c>
      <c r="T21" s="27">
        <f t="shared" si="7"/>
        <v>0</v>
      </c>
      <c r="U21" s="27">
        <f t="shared" si="4"/>
        <v>0</v>
      </c>
      <c r="V21" s="26">
        <f t="shared" si="5"/>
        <v>0</v>
      </c>
      <c r="X21" s="41"/>
      <c r="Y21" s="41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51"/>
      <c r="CD21" s="51"/>
      <c r="CE21" s="51"/>
      <c r="CF21" s="51"/>
      <c r="CG21" s="51"/>
      <c r="CH21" s="53"/>
      <c r="CI21" s="53"/>
      <c r="CJ21" s="53"/>
      <c r="CK21" s="53"/>
      <c r="CL21" s="53"/>
      <c r="CM21" s="53"/>
    </row>
    <row r="22" spans="1:91" ht="13">
      <c r="A22" s="16">
        <f t="shared" si="8"/>
        <v>2027</v>
      </c>
      <c r="B22" s="29">
        <f>Grunddaten!C43</f>
        <v>0</v>
      </c>
      <c r="C22" s="29">
        <f>Grunddaten!D43</f>
        <v>0</v>
      </c>
      <c r="D22" s="29">
        <f>Grunddaten!E43</f>
        <v>0</v>
      </c>
      <c r="E22" s="29">
        <f>Grunddaten!F43</f>
        <v>0</v>
      </c>
      <c r="F22" s="29">
        <f>Grunddaten!G43</f>
        <v>0</v>
      </c>
      <c r="G22" s="29">
        <f>Grunddaten!H43</f>
        <v>0</v>
      </c>
      <c r="H22" s="29">
        <f>Grunddaten!I43</f>
        <v>0</v>
      </c>
      <c r="I22" s="29">
        <f>Grunddaten!J43</f>
        <v>0</v>
      </c>
      <c r="J22" s="29">
        <f>Grunddaten!K43</f>
        <v>0</v>
      </c>
      <c r="K22" s="29">
        <f>Grunddaten!L43</f>
        <v>0</v>
      </c>
      <c r="L22" s="29">
        <f>Grunddaten!M43</f>
        <v>0</v>
      </c>
      <c r="M22" s="29">
        <f>Grunddaten!N43</f>
        <v>0</v>
      </c>
      <c r="N22" s="40">
        <f t="shared" si="6"/>
        <v>0</v>
      </c>
      <c r="O22" s="40">
        <f t="shared" si="2"/>
        <v>0</v>
      </c>
      <c r="P22" s="75">
        <f t="shared" si="9"/>
        <v>-4527.0588752308477</v>
      </c>
      <c r="Q22" s="75">
        <f t="shared" si="3"/>
        <v>-2345.0164973695792</v>
      </c>
      <c r="R22" s="76">
        <f>100*Auswertung!N22/Jahres_Soll</f>
        <v>0</v>
      </c>
      <c r="S22" s="26">
        <f t="shared" si="10"/>
        <v>0</v>
      </c>
      <c r="T22" s="27">
        <f t="shared" si="7"/>
        <v>0</v>
      </c>
      <c r="U22" s="27">
        <f t="shared" si="4"/>
        <v>0</v>
      </c>
      <c r="V22" s="26">
        <f t="shared" si="5"/>
        <v>0</v>
      </c>
      <c r="X22" s="41"/>
      <c r="Y22" s="41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51"/>
      <c r="CD22" s="51"/>
      <c r="CE22" s="51"/>
      <c r="CF22" s="51"/>
      <c r="CG22" s="51"/>
      <c r="CH22" s="53"/>
      <c r="CI22" s="53"/>
      <c r="CJ22" s="53"/>
      <c r="CK22" s="53"/>
      <c r="CL22" s="53"/>
      <c r="CM22" s="53"/>
    </row>
    <row r="23" spans="1:91" ht="13">
      <c r="A23" s="16">
        <f t="shared" si="8"/>
        <v>2028</v>
      </c>
      <c r="B23" s="29">
        <f>Grunddaten!C44</f>
        <v>0</v>
      </c>
      <c r="C23" s="29">
        <f>Grunddaten!D44</f>
        <v>0</v>
      </c>
      <c r="D23" s="29">
        <f>Grunddaten!E44</f>
        <v>0</v>
      </c>
      <c r="E23" s="29">
        <f>Grunddaten!F44</f>
        <v>0</v>
      </c>
      <c r="F23" s="29">
        <f>Grunddaten!G44</f>
        <v>0</v>
      </c>
      <c r="G23" s="29">
        <f>Grunddaten!H44</f>
        <v>0</v>
      </c>
      <c r="H23" s="29">
        <f>Grunddaten!I44</f>
        <v>0</v>
      </c>
      <c r="I23" s="29">
        <f>Grunddaten!J44</f>
        <v>0</v>
      </c>
      <c r="J23" s="29">
        <f>Grunddaten!K44</f>
        <v>0</v>
      </c>
      <c r="K23" s="29">
        <f>Grunddaten!L44</f>
        <v>0</v>
      </c>
      <c r="L23" s="29">
        <f>Grunddaten!M44</f>
        <v>0</v>
      </c>
      <c r="M23" s="29">
        <f>Grunddaten!N44</f>
        <v>0</v>
      </c>
      <c r="N23" s="40">
        <f t="shared" si="6"/>
        <v>0</v>
      </c>
      <c r="O23" s="40">
        <f t="shared" si="2"/>
        <v>0</v>
      </c>
      <c r="P23" s="75">
        <f t="shared" si="9"/>
        <v>-4513.4776986051547</v>
      </c>
      <c r="Q23" s="75">
        <f t="shared" si="3"/>
        <v>-2337.9814478774701</v>
      </c>
      <c r="R23" s="76">
        <f>100*Auswertung!N23/Jahres_Soll</f>
        <v>0</v>
      </c>
      <c r="S23" s="26">
        <f t="shared" si="10"/>
        <v>0</v>
      </c>
      <c r="T23" s="27">
        <f t="shared" si="7"/>
        <v>0</v>
      </c>
      <c r="U23" s="27">
        <f t="shared" si="4"/>
        <v>0</v>
      </c>
      <c r="V23" s="26">
        <f t="shared" si="5"/>
        <v>0</v>
      </c>
      <c r="X23" s="41"/>
      <c r="Y23" s="41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51"/>
      <c r="CD23" s="51"/>
      <c r="CE23" s="51"/>
      <c r="CF23" s="51"/>
      <c r="CG23" s="51"/>
      <c r="CH23" s="53"/>
      <c r="CI23" s="53"/>
      <c r="CJ23" s="53"/>
      <c r="CK23" s="53"/>
      <c r="CL23" s="53"/>
      <c r="CM23" s="53"/>
    </row>
    <row r="24" spans="1:91" ht="13">
      <c r="A24" s="16">
        <f t="shared" si="8"/>
        <v>2029</v>
      </c>
      <c r="B24" s="29">
        <f>Grunddaten!C45</f>
        <v>0</v>
      </c>
      <c r="C24" s="29">
        <f>Grunddaten!D45</f>
        <v>0</v>
      </c>
      <c r="D24" s="29">
        <f>Grunddaten!E45</f>
        <v>0</v>
      </c>
      <c r="E24" s="29">
        <f>Grunddaten!F45</f>
        <v>0</v>
      </c>
      <c r="F24" s="29">
        <f>Grunddaten!G45</f>
        <v>0</v>
      </c>
      <c r="G24" s="29">
        <f>Grunddaten!H45</f>
        <v>0</v>
      </c>
      <c r="H24" s="29">
        <f>Grunddaten!I45</f>
        <v>0</v>
      </c>
      <c r="I24" s="29">
        <f>Grunddaten!J45</f>
        <v>0</v>
      </c>
      <c r="J24" s="29">
        <f>Grunddaten!K45</f>
        <v>0</v>
      </c>
      <c r="K24" s="29">
        <f>Grunddaten!L45</f>
        <v>0</v>
      </c>
      <c r="L24" s="29">
        <f>Grunddaten!M45</f>
        <v>0</v>
      </c>
      <c r="M24" s="29">
        <f>Grunddaten!N45</f>
        <v>0</v>
      </c>
      <c r="N24" s="40">
        <f t="shared" si="6"/>
        <v>0</v>
      </c>
      <c r="O24" s="40">
        <f t="shared" si="2"/>
        <v>0</v>
      </c>
      <c r="P24" s="75">
        <f t="shared" si="9"/>
        <v>-4499.9372655093393</v>
      </c>
      <c r="Q24" s="75">
        <f t="shared" si="3"/>
        <v>-2330.9675035338378</v>
      </c>
      <c r="R24" s="76">
        <f>100*Auswertung!N24/Jahres_Soll</f>
        <v>0</v>
      </c>
      <c r="S24" s="26">
        <f t="shared" si="10"/>
        <v>0</v>
      </c>
      <c r="T24" s="27">
        <f t="shared" si="7"/>
        <v>0</v>
      </c>
      <c r="U24" s="27">
        <f t="shared" si="4"/>
        <v>0</v>
      </c>
      <c r="V24" s="26">
        <f t="shared" si="5"/>
        <v>0</v>
      </c>
      <c r="X24" s="41"/>
      <c r="Y24" s="41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51"/>
      <c r="CD24" s="51"/>
      <c r="CE24" s="51"/>
      <c r="CF24" s="51"/>
      <c r="CG24" s="51"/>
      <c r="CH24" s="53"/>
      <c r="CI24" s="53"/>
      <c r="CJ24" s="53"/>
      <c r="CK24" s="53"/>
      <c r="CL24" s="53"/>
      <c r="CM24" s="53"/>
    </row>
    <row r="25" spans="1:91" ht="13">
      <c r="A25" s="16">
        <f t="shared" si="8"/>
        <v>2030</v>
      </c>
      <c r="B25" s="29">
        <f>Grunddaten!C46</f>
        <v>0</v>
      </c>
      <c r="C25" s="29">
        <f>Grunddaten!D46</f>
        <v>0</v>
      </c>
      <c r="D25" s="29">
        <f>Grunddaten!E46</f>
        <v>0</v>
      </c>
      <c r="E25" s="29">
        <f>Grunddaten!F46</f>
        <v>0</v>
      </c>
      <c r="F25" s="29">
        <f>Grunddaten!G46</f>
        <v>0</v>
      </c>
      <c r="G25" s="29">
        <f>Grunddaten!H46</f>
        <v>0</v>
      </c>
      <c r="H25" s="29">
        <f>Grunddaten!I46</f>
        <v>0</v>
      </c>
      <c r="I25" s="29">
        <f>Grunddaten!J46</f>
        <v>0</v>
      </c>
      <c r="J25" s="29">
        <f>Grunddaten!K46</f>
        <v>0</v>
      </c>
      <c r="K25" s="29">
        <f>Grunddaten!L46</f>
        <v>0</v>
      </c>
      <c r="L25" s="29">
        <f>Grunddaten!M46</f>
        <v>0</v>
      </c>
      <c r="M25" s="29">
        <f>Grunddaten!N46</f>
        <v>0</v>
      </c>
      <c r="N25" s="40">
        <f t="shared" si="6"/>
        <v>0</v>
      </c>
      <c r="O25" s="40">
        <f t="shared" si="2"/>
        <v>0</v>
      </c>
      <c r="P25" s="75">
        <f t="shared" si="9"/>
        <v>-4486.4374537128115</v>
      </c>
      <c r="Q25" s="75">
        <f t="shared" si="3"/>
        <v>-2323.9746010232366</v>
      </c>
      <c r="R25" s="76">
        <f>100*Auswertung!N25/Jahres_Soll</f>
        <v>0</v>
      </c>
      <c r="S25" s="26">
        <f t="shared" si="10"/>
        <v>0</v>
      </c>
      <c r="T25" s="27">
        <f t="shared" si="7"/>
        <v>0</v>
      </c>
      <c r="U25" s="27">
        <f t="shared" si="4"/>
        <v>0</v>
      </c>
      <c r="V25" s="26">
        <f t="shared" si="5"/>
        <v>0</v>
      </c>
      <c r="X25" s="41"/>
      <c r="Y25" s="41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51"/>
      <c r="CD25" s="51"/>
      <c r="CE25" s="51"/>
      <c r="CF25" s="51"/>
      <c r="CG25" s="51"/>
      <c r="CH25" s="53"/>
      <c r="CI25" s="53"/>
      <c r="CJ25" s="53"/>
      <c r="CK25" s="53"/>
      <c r="CL25" s="53"/>
      <c r="CM25" s="53"/>
    </row>
    <row r="26" spans="1:91" ht="13">
      <c r="B26" s="147" t="s">
        <v>63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20"/>
      <c r="O26" s="21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51"/>
      <c r="CD26" s="51"/>
      <c r="CE26" s="51"/>
      <c r="CF26" s="51"/>
      <c r="CG26" s="51"/>
      <c r="CH26" s="53"/>
      <c r="CI26" s="53"/>
      <c r="CJ26" s="53"/>
      <c r="CK26" s="53"/>
      <c r="CL26" s="53"/>
      <c r="CM26" s="53"/>
    </row>
    <row r="27" spans="1:91" ht="13">
      <c r="A27" s="3" t="s">
        <v>0</v>
      </c>
      <c r="B27" s="11">
        <f>SUM(B4:B25)</f>
        <v>0</v>
      </c>
      <c r="C27" s="11">
        <f t="shared" ref="C27:M27" si="11">SUM(C4:C25)</f>
        <v>0</v>
      </c>
      <c r="D27" s="11">
        <f t="shared" si="11"/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22">
        <f>SUM(N4:N25)</f>
        <v>0</v>
      </c>
      <c r="O27" s="22">
        <f>SUM(O4:O25)</f>
        <v>0</v>
      </c>
      <c r="Q27" s="48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51"/>
      <c r="CD27" s="51"/>
      <c r="CE27" s="51"/>
      <c r="CF27" s="51"/>
      <c r="CG27" s="51"/>
      <c r="CH27" s="53"/>
      <c r="CI27" s="53"/>
      <c r="CJ27" s="53"/>
      <c r="CK27" s="53"/>
      <c r="CL27" s="53"/>
      <c r="CM27" s="53"/>
    </row>
    <row r="28" spans="1:91"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51"/>
      <c r="CD28" s="51"/>
      <c r="CE28" s="51"/>
      <c r="CF28" s="51"/>
      <c r="CG28" s="51"/>
      <c r="CH28" s="53"/>
      <c r="CI28" s="53"/>
      <c r="CJ28" s="53"/>
      <c r="CK28" s="53"/>
      <c r="CL28" s="53"/>
      <c r="CM28" s="53"/>
    </row>
    <row r="29" spans="1:91" ht="13">
      <c r="A29" s="10" t="s">
        <v>31</v>
      </c>
      <c r="B29" s="7"/>
      <c r="C29" s="7"/>
      <c r="D29" s="7"/>
      <c r="E29" s="7"/>
      <c r="F29" s="31" t="s">
        <v>40</v>
      </c>
      <c r="G29" s="10"/>
      <c r="H29" s="10"/>
      <c r="I29" s="10"/>
      <c r="J29" s="10"/>
      <c r="K29" s="30" t="s">
        <v>4</v>
      </c>
      <c r="L29" s="30"/>
      <c r="M29" s="30"/>
      <c r="N29" s="30"/>
      <c r="O29" s="30"/>
      <c r="P29" s="30"/>
      <c r="Q29" s="30"/>
      <c r="R29" s="78" t="s">
        <v>89</v>
      </c>
      <c r="S29" s="30"/>
      <c r="T29" s="30"/>
      <c r="U29" s="30"/>
      <c r="V29" s="3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51"/>
      <c r="CD29" s="51"/>
      <c r="CE29" s="51"/>
      <c r="CF29" s="51"/>
      <c r="CG29" s="51"/>
      <c r="CH29" s="53"/>
      <c r="CI29" s="53"/>
      <c r="CJ29" s="53"/>
      <c r="CK29" s="53"/>
      <c r="CL29" s="53"/>
      <c r="CM29" s="53"/>
    </row>
    <row r="30" spans="1:91" ht="13.5" thickBot="1">
      <c r="A30" s="9" t="s">
        <v>30</v>
      </c>
      <c r="B30" s="8"/>
      <c r="C30" s="8" t="s">
        <v>6</v>
      </c>
      <c r="D30" s="8" t="s">
        <v>3</v>
      </c>
      <c r="E30" s="8"/>
      <c r="F30" s="32" t="s">
        <v>30</v>
      </c>
      <c r="G30" s="32"/>
      <c r="H30" s="33" t="s">
        <v>6</v>
      </c>
      <c r="I30" s="33" t="s">
        <v>3</v>
      </c>
      <c r="J30" s="33"/>
      <c r="K30" s="34" t="s">
        <v>30</v>
      </c>
      <c r="L30" s="34"/>
      <c r="M30" s="34"/>
      <c r="N30" s="35" t="s">
        <v>6</v>
      </c>
      <c r="O30" s="35" t="s">
        <v>3</v>
      </c>
      <c r="P30" s="35" t="s">
        <v>41</v>
      </c>
      <c r="Q30" s="34"/>
      <c r="R30" s="79" t="s">
        <v>30</v>
      </c>
      <c r="S30" s="79" t="s">
        <v>3</v>
      </c>
      <c r="T30" s="34"/>
      <c r="U30" s="34"/>
      <c r="V30" s="34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51"/>
      <c r="CD30" s="51"/>
      <c r="CE30" s="51"/>
      <c r="CF30" s="51"/>
      <c r="CG30" s="51"/>
      <c r="CH30" s="53"/>
      <c r="CI30" s="53"/>
      <c r="CJ30" s="53"/>
      <c r="CK30" s="53"/>
      <c r="CL30" s="53"/>
      <c r="CM30" s="53"/>
    </row>
    <row r="31" spans="1:91" ht="13">
      <c r="A31" s="38" t="s">
        <v>34</v>
      </c>
      <c r="B31" s="12">
        <f>Jahres_Soll</f>
        <v>4750</v>
      </c>
      <c r="C31" s="12">
        <f>Jahres_Soll*1</f>
        <v>4750</v>
      </c>
      <c r="D31" s="12">
        <f t="shared" ref="D31:D50" si="12">C31*Vergütung_kW</f>
        <v>2460.5</v>
      </c>
      <c r="E31" s="39"/>
      <c r="F31" s="38" t="s">
        <v>34</v>
      </c>
      <c r="G31" s="6"/>
      <c r="H31" s="12">
        <f>N6</f>
        <v>0</v>
      </c>
      <c r="I31" s="12">
        <f>O6</f>
        <v>0</v>
      </c>
      <c r="J31" s="39"/>
      <c r="K31" s="38" t="s">
        <v>34</v>
      </c>
      <c r="L31" s="6"/>
      <c r="M31" s="6"/>
      <c r="N31" s="36">
        <f>H31-C31</f>
        <v>-4750</v>
      </c>
      <c r="O31" s="36">
        <f t="shared" ref="O31:O50" si="13">N31*Vergütung_kW</f>
        <v>-2460.5</v>
      </c>
      <c r="P31" s="37">
        <f>100*H31/C31</f>
        <v>0</v>
      </c>
      <c r="Q31" s="39"/>
      <c r="R31" s="38" t="s">
        <v>34</v>
      </c>
      <c r="S31" s="100" t="e">
        <f>#REF!</f>
        <v>#REF!</v>
      </c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3"/>
      <c r="CI31" s="53"/>
      <c r="CJ31" s="53"/>
      <c r="CK31" s="53"/>
      <c r="CL31" s="53"/>
      <c r="CM31" s="53"/>
    </row>
    <row r="32" spans="1:91" ht="13">
      <c r="A32" s="38" t="s">
        <v>56</v>
      </c>
      <c r="B32" s="12">
        <f>B31*(1-Grunddaten!D$13)</f>
        <v>4735.75</v>
      </c>
      <c r="C32" s="12">
        <f>C31+B32</f>
        <v>9485.75</v>
      </c>
      <c r="D32" s="12">
        <f t="shared" si="12"/>
        <v>4913.6185000000005</v>
      </c>
      <c r="E32" s="39"/>
      <c r="F32" s="38" t="s">
        <v>56</v>
      </c>
      <c r="G32" s="6"/>
      <c r="H32" s="12">
        <f>SUM(N$6:N7)</f>
        <v>0</v>
      </c>
      <c r="I32" s="12">
        <f>SUM(O$6:O7)</f>
        <v>0</v>
      </c>
      <c r="J32" s="39"/>
      <c r="K32" s="38" t="s">
        <v>56</v>
      </c>
      <c r="L32" s="6"/>
      <c r="M32" s="6"/>
      <c r="N32" s="36">
        <f t="shared" ref="N32:N50" si="14">H32-C32</f>
        <v>-9485.75</v>
      </c>
      <c r="O32" s="36">
        <f t="shared" si="13"/>
        <v>-4913.6185000000005</v>
      </c>
      <c r="P32" s="37">
        <f t="shared" ref="P32:P49" si="15">100*H32/C32</f>
        <v>0</v>
      </c>
      <c r="Q32" s="39"/>
      <c r="R32" s="38" t="s">
        <v>56</v>
      </c>
      <c r="S32" s="100" t="e">
        <f>S31+#REF!</f>
        <v>#REF!</v>
      </c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3"/>
      <c r="CI32" s="53"/>
      <c r="CJ32" s="53"/>
      <c r="CK32" s="53"/>
      <c r="CL32" s="53"/>
      <c r="CM32" s="53"/>
    </row>
    <row r="33" spans="1:91" ht="13">
      <c r="A33" s="38" t="s">
        <v>57</v>
      </c>
      <c r="B33" s="12">
        <f>B32*(1-Grunddaten!D$13)</f>
        <v>4721.5427499999996</v>
      </c>
      <c r="C33" s="12">
        <f>C32+B33</f>
        <v>14207.292750000001</v>
      </c>
      <c r="D33" s="12">
        <f t="shared" si="12"/>
        <v>7359.3776445000003</v>
      </c>
      <c r="E33" s="39"/>
      <c r="F33" s="38" t="s">
        <v>57</v>
      </c>
      <c r="G33" s="6"/>
      <c r="H33" s="12">
        <f>SUM(N$6:N8)</f>
        <v>0</v>
      </c>
      <c r="I33" s="12">
        <f>SUM(O$6:O8)</f>
        <v>0</v>
      </c>
      <c r="J33" s="39"/>
      <c r="K33" s="38" t="s">
        <v>57</v>
      </c>
      <c r="L33" s="6"/>
      <c r="M33" s="6"/>
      <c r="N33" s="36">
        <f t="shared" si="14"/>
        <v>-14207.292750000001</v>
      </c>
      <c r="O33" s="36">
        <f t="shared" si="13"/>
        <v>-7359.3776445000003</v>
      </c>
      <c r="P33" s="37">
        <f t="shared" si="15"/>
        <v>0</v>
      </c>
      <c r="Q33" s="39"/>
      <c r="R33" s="38" t="s">
        <v>57</v>
      </c>
      <c r="S33" s="100" t="e">
        <f>S32+#REF!</f>
        <v>#REF!</v>
      </c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3"/>
      <c r="CI33" s="53"/>
      <c r="CJ33" s="53"/>
      <c r="CK33" s="53"/>
      <c r="CL33" s="53"/>
      <c r="CM33" s="53"/>
    </row>
    <row r="34" spans="1:91" ht="13">
      <c r="A34" s="38" t="s">
        <v>58</v>
      </c>
      <c r="B34" s="12">
        <f>B33*(1-Grunddaten!D$13)</f>
        <v>4707.37812175</v>
      </c>
      <c r="C34" s="12">
        <f t="shared" ref="C34:C50" si="16">C33+B34</f>
        <v>18914.670871750001</v>
      </c>
      <c r="D34" s="12">
        <f t="shared" si="12"/>
        <v>9797.7995115664999</v>
      </c>
      <c r="E34" s="39"/>
      <c r="F34" s="38" t="s">
        <v>58</v>
      </c>
      <c r="G34" s="6"/>
      <c r="H34" s="12">
        <f>SUM(N$6:N9)</f>
        <v>0</v>
      </c>
      <c r="I34" s="12">
        <f>SUM(O$6:O9)</f>
        <v>0</v>
      </c>
      <c r="J34" s="39"/>
      <c r="K34" s="38" t="s">
        <v>58</v>
      </c>
      <c r="L34" s="6"/>
      <c r="M34" s="6"/>
      <c r="N34" s="36">
        <f t="shared" si="14"/>
        <v>-18914.670871750001</v>
      </c>
      <c r="O34" s="36">
        <f t="shared" si="13"/>
        <v>-9797.7995115664999</v>
      </c>
      <c r="P34" s="37">
        <f t="shared" si="15"/>
        <v>0</v>
      </c>
      <c r="Q34" s="39"/>
      <c r="R34" s="38" t="s">
        <v>58</v>
      </c>
      <c r="S34" s="100" t="e">
        <f>S33+#REF!</f>
        <v>#REF!</v>
      </c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</row>
    <row r="35" spans="1:91" ht="13">
      <c r="A35" s="50" t="s">
        <v>7</v>
      </c>
      <c r="B35" s="12">
        <f>B34*(1-Grunddaten!D$13)</f>
        <v>4693.2559873847504</v>
      </c>
      <c r="C35" s="12">
        <f t="shared" si="16"/>
        <v>23607.92685913475</v>
      </c>
      <c r="D35" s="12">
        <f t="shared" si="12"/>
        <v>12228.9061130318</v>
      </c>
      <c r="E35" s="39"/>
      <c r="F35" s="38" t="s">
        <v>7</v>
      </c>
      <c r="G35" s="6"/>
      <c r="H35" s="12">
        <f>SUM(N$6:N10)</f>
        <v>0</v>
      </c>
      <c r="I35" s="12">
        <f>SUM(O$6:O10)</f>
        <v>0</v>
      </c>
      <c r="J35" s="39"/>
      <c r="K35" s="38" t="s">
        <v>7</v>
      </c>
      <c r="L35" s="6"/>
      <c r="M35" s="6"/>
      <c r="N35" s="36">
        <f t="shared" si="14"/>
        <v>-23607.92685913475</v>
      </c>
      <c r="O35" s="36">
        <f t="shared" si="13"/>
        <v>-12228.9061130318</v>
      </c>
      <c r="P35" s="37">
        <f t="shared" si="15"/>
        <v>0</v>
      </c>
      <c r="Q35" s="39"/>
      <c r="R35" s="38" t="s">
        <v>7</v>
      </c>
      <c r="S35" s="100" t="e">
        <f>S34+#REF!</f>
        <v>#REF!</v>
      </c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</row>
    <row r="36" spans="1:91" ht="13">
      <c r="A36" s="38" t="s">
        <v>59</v>
      </c>
      <c r="B36" s="12">
        <f>B35*(1-Grunddaten!D$13)</f>
        <v>4679.1762194225958</v>
      </c>
      <c r="C36" s="12">
        <f t="shared" si="16"/>
        <v>28287.103078557346</v>
      </c>
      <c r="D36" s="12">
        <f t="shared" si="12"/>
        <v>14652.719394692705</v>
      </c>
      <c r="E36" s="39"/>
      <c r="F36" s="38" t="s">
        <v>59</v>
      </c>
      <c r="G36" s="6"/>
      <c r="H36" s="12">
        <f>SUM(N$6:N11)</f>
        <v>0</v>
      </c>
      <c r="I36" s="12">
        <f>SUM(O$6:O11)</f>
        <v>0</v>
      </c>
      <c r="J36" s="39"/>
      <c r="K36" s="38" t="s">
        <v>59</v>
      </c>
      <c r="L36" s="6"/>
      <c r="M36" s="6"/>
      <c r="N36" s="36">
        <f t="shared" si="14"/>
        <v>-28287.103078557346</v>
      </c>
      <c r="O36" s="36">
        <f t="shared" si="13"/>
        <v>-14652.719394692705</v>
      </c>
      <c r="P36" s="37">
        <f t="shared" si="15"/>
        <v>0</v>
      </c>
      <c r="Q36" s="39"/>
      <c r="R36" s="38" t="s">
        <v>59</v>
      </c>
      <c r="S36" s="100" t="e">
        <f>S35+#REF!</f>
        <v>#REF!</v>
      </c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</row>
    <row r="37" spans="1:91" ht="13">
      <c r="A37" s="38" t="s">
        <v>60</v>
      </c>
      <c r="B37" s="12">
        <f>B36*(1-Grunddaten!D$13)</f>
        <v>4665.1386907643282</v>
      </c>
      <c r="C37" s="12">
        <f t="shared" si="16"/>
        <v>32952.24176932167</v>
      </c>
      <c r="D37" s="12">
        <f t="shared" si="12"/>
        <v>17069.261236508624</v>
      </c>
      <c r="E37" s="39"/>
      <c r="F37" s="38" t="s">
        <v>60</v>
      </c>
      <c r="G37" s="6"/>
      <c r="H37" s="12">
        <f>SUM(N$6:N12)</f>
        <v>0</v>
      </c>
      <c r="I37" s="12">
        <f>SUM(O$6:O12)</f>
        <v>0</v>
      </c>
      <c r="J37" s="39"/>
      <c r="K37" s="38" t="s">
        <v>60</v>
      </c>
      <c r="L37" s="6"/>
      <c r="M37" s="6"/>
      <c r="N37" s="36">
        <f t="shared" si="14"/>
        <v>-32952.24176932167</v>
      </c>
      <c r="O37" s="36">
        <f t="shared" si="13"/>
        <v>-17069.261236508624</v>
      </c>
      <c r="P37" s="37">
        <f t="shared" si="15"/>
        <v>0</v>
      </c>
      <c r="Q37" s="39"/>
      <c r="R37" s="38" t="s">
        <v>60</v>
      </c>
      <c r="S37" s="100" t="e">
        <f>S36+#REF!</f>
        <v>#REF!</v>
      </c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</row>
    <row r="38" spans="1:91" ht="13">
      <c r="A38" s="38" t="s">
        <v>61</v>
      </c>
      <c r="B38" s="12">
        <f>B37*(1-Grunddaten!D$13)</f>
        <v>4651.1432746920354</v>
      </c>
      <c r="C38" s="12">
        <f t="shared" si="16"/>
        <v>37603.385044013703</v>
      </c>
      <c r="D38" s="12">
        <f t="shared" si="12"/>
        <v>19478.5534527991</v>
      </c>
      <c r="E38" s="39"/>
      <c r="F38" s="38" t="s">
        <v>61</v>
      </c>
      <c r="G38" s="6"/>
      <c r="H38" s="12">
        <f>SUM(N$6:N13)</f>
        <v>0</v>
      </c>
      <c r="I38" s="12">
        <f>SUM(O$6:O13)</f>
        <v>0</v>
      </c>
      <c r="J38" s="39"/>
      <c r="K38" s="38" t="s">
        <v>61</v>
      </c>
      <c r="L38" s="6"/>
      <c r="M38" s="6"/>
      <c r="N38" s="36">
        <f t="shared" si="14"/>
        <v>-37603.385044013703</v>
      </c>
      <c r="O38" s="36">
        <f t="shared" si="13"/>
        <v>-19478.5534527991</v>
      </c>
      <c r="P38" s="37">
        <f t="shared" si="15"/>
        <v>0</v>
      </c>
      <c r="Q38" s="39"/>
      <c r="R38" s="38" t="s">
        <v>61</v>
      </c>
      <c r="S38" s="100" t="e">
        <f>S37+#REF!</f>
        <v>#REF!</v>
      </c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</row>
    <row r="39" spans="1:91" ht="13">
      <c r="A39" s="38" t="s">
        <v>62</v>
      </c>
      <c r="B39" s="12">
        <f>B38*(1-Grunddaten!D$13)</f>
        <v>4637.1898448679594</v>
      </c>
      <c r="C39" s="12">
        <f t="shared" si="16"/>
        <v>42240.57488888166</v>
      </c>
      <c r="D39" s="12">
        <f t="shared" si="12"/>
        <v>21880.617792440702</v>
      </c>
      <c r="E39" s="39"/>
      <c r="F39" s="38" t="s">
        <v>62</v>
      </c>
      <c r="G39" s="6"/>
      <c r="H39" s="12">
        <f>SUM(N$6:N14)</f>
        <v>0</v>
      </c>
      <c r="I39" s="12">
        <f>SUM(O$6:O14)</f>
        <v>0</v>
      </c>
      <c r="J39" s="39"/>
      <c r="K39" s="38" t="s">
        <v>62</v>
      </c>
      <c r="L39" s="6"/>
      <c r="M39" s="6"/>
      <c r="N39" s="36">
        <f t="shared" si="14"/>
        <v>-42240.57488888166</v>
      </c>
      <c r="O39" s="36">
        <f t="shared" si="13"/>
        <v>-21880.617792440702</v>
      </c>
      <c r="P39" s="37">
        <f t="shared" si="15"/>
        <v>0</v>
      </c>
      <c r="Q39" s="39"/>
      <c r="R39" s="38" t="s">
        <v>62</v>
      </c>
      <c r="S39" s="100" t="e">
        <f>S38+#REF!</f>
        <v>#REF!</v>
      </c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</row>
    <row r="40" spans="1:91" ht="13">
      <c r="A40" s="50" t="s">
        <v>8</v>
      </c>
      <c r="B40" s="12">
        <f>B39*(1-Grunddaten!D$13)</f>
        <v>4623.2782753333559</v>
      </c>
      <c r="C40" s="12">
        <f t="shared" si="16"/>
        <v>46863.853164215019</v>
      </c>
      <c r="D40" s="12">
        <f t="shared" si="12"/>
        <v>24275.475939063381</v>
      </c>
      <c r="E40" s="39"/>
      <c r="F40" s="38" t="s">
        <v>8</v>
      </c>
      <c r="G40" s="6"/>
      <c r="H40" s="12">
        <f>SUM(N$6:N15)</f>
        <v>0</v>
      </c>
      <c r="I40" s="12">
        <f>SUM(O$6:O15)</f>
        <v>0</v>
      </c>
      <c r="J40" s="39"/>
      <c r="K40" s="38" t="s">
        <v>8</v>
      </c>
      <c r="L40" s="6"/>
      <c r="M40" s="6"/>
      <c r="N40" s="36">
        <f t="shared" si="14"/>
        <v>-46863.853164215019</v>
      </c>
      <c r="O40" s="36">
        <f t="shared" si="13"/>
        <v>-24275.475939063381</v>
      </c>
      <c r="P40" s="37">
        <f t="shared" si="15"/>
        <v>0</v>
      </c>
      <c r="Q40" s="39"/>
      <c r="R40" s="38" t="s">
        <v>8</v>
      </c>
      <c r="S40" s="100" t="e">
        <f>S39+#REF!</f>
        <v>#REF!</v>
      </c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</row>
    <row r="41" spans="1:91" ht="13">
      <c r="A41" s="38" t="s">
        <v>90</v>
      </c>
      <c r="B41" s="12">
        <f>B40*(1-Grunddaten!D$13)</f>
        <v>4609.4084405073554</v>
      </c>
      <c r="C41" s="12">
        <f t="shared" si="16"/>
        <v>51473.261604722371</v>
      </c>
      <c r="D41" s="12">
        <f t="shared" si="12"/>
        <v>26663.149511246189</v>
      </c>
      <c r="E41" s="39"/>
      <c r="F41" s="38" t="s">
        <v>90</v>
      </c>
      <c r="G41" s="6"/>
      <c r="H41" s="12">
        <f>SUM(N$6:N16)</f>
        <v>0</v>
      </c>
      <c r="I41" s="12">
        <f>SUM(O$6:O16)</f>
        <v>0</v>
      </c>
      <c r="J41" s="39"/>
      <c r="K41" s="38" t="s">
        <v>90</v>
      </c>
      <c r="L41" s="6"/>
      <c r="M41" s="6"/>
      <c r="N41" s="36">
        <f t="shared" si="14"/>
        <v>-51473.261604722371</v>
      </c>
      <c r="O41" s="36">
        <f t="shared" si="13"/>
        <v>-26663.149511246189</v>
      </c>
      <c r="P41" s="37">
        <f t="shared" si="15"/>
        <v>0</v>
      </c>
      <c r="Q41" s="39"/>
      <c r="R41" s="38" t="s">
        <v>90</v>
      </c>
      <c r="S41" s="100" t="e">
        <f>S40+#REF!</f>
        <v>#REF!</v>
      </c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</row>
    <row r="42" spans="1:91" ht="13">
      <c r="A42" s="50" t="s">
        <v>91</v>
      </c>
      <c r="B42" s="12">
        <f>B41*(1-Grunddaten!D$13)</f>
        <v>4595.5802151858334</v>
      </c>
      <c r="C42" s="12">
        <f t="shared" si="16"/>
        <v>56068.841819908208</v>
      </c>
      <c r="D42" s="12">
        <f t="shared" si="12"/>
        <v>29043.660062712454</v>
      </c>
      <c r="E42" s="39"/>
      <c r="F42" s="38" t="s">
        <v>91</v>
      </c>
      <c r="G42" s="6"/>
      <c r="H42" s="12">
        <f>SUM(N$6:N17)</f>
        <v>0</v>
      </c>
      <c r="I42" s="12">
        <f>SUM(O$6:O17)</f>
        <v>0</v>
      </c>
      <c r="J42" s="39"/>
      <c r="K42" s="38" t="s">
        <v>91</v>
      </c>
      <c r="L42" s="6"/>
      <c r="M42" s="6"/>
      <c r="N42" s="36">
        <f t="shared" si="14"/>
        <v>-56068.841819908208</v>
      </c>
      <c r="O42" s="36">
        <f t="shared" si="13"/>
        <v>-29043.660062712454</v>
      </c>
      <c r="P42" s="37">
        <f t="shared" si="15"/>
        <v>0</v>
      </c>
      <c r="Q42" s="39"/>
      <c r="R42" s="38" t="s">
        <v>91</v>
      </c>
      <c r="S42" s="100" t="e">
        <f>S41+#REF!</f>
        <v>#REF!</v>
      </c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</row>
    <row r="43" spans="1:91" ht="13">
      <c r="A43" s="38" t="s">
        <v>92</v>
      </c>
      <c r="B43" s="12">
        <f>B42*(1-Grunddaten!D$13)</f>
        <v>4581.7934745402763</v>
      </c>
      <c r="C43" s="12">
        <f t="shared" si="16"/>
        <v>60650.635294448482</v>
      </c>
      <c r="D43" s="12">
        <f t="shared" si="12"/>
        <v>31417.029082524314</v>
      </c>
      <c r="E43" s="39"/>
      <c r="F43" s="38" t="s">
        <v>92</v>
      </c>
      <c r="G43" s="6"/>
      <c r="H43" s="12">
        <f>SUM(N$6:N18)</f>
        <v>0</v>
      </c>
      <c r="I43" s="12">
        <f>SUM(O$6:O18)</f>
        <v>0</v>
      </c>
      <c r="J43" s="39"/>
      <c r="K43" s="38" t="s">
        <v>92</v>
      </c>
      <c r="L43" s="6"/>
      <c r="M43" s="6"/>
      <c r="N43" s="36">
        <f t="shared" si="14"/>
        <v>-60650.635294448482</v>
      </c>
      <c r="O43" s="36">
        <f t="shared" si="13"/>
        <v>-31417.029082524314</v>
      </c>
      <c r="P43" s="37">
        <f t="shared" si="15"/>
        <v>0</v>
      </c>
      <c r="Q43" s="39"/>
      <c r="R43" s="38" t="s">
        <v>92</v>
      </c>
      <c r="S43" s="100" t="e">
        <f>S42+#REF!</f>
        <v>#REF!</v>
      </c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</row>
    <row r="44" spans="1:91" ht="13">
      <c r="A44" s="50" t="s">
        <v>93</v>
      </c>
      <c r="B44" s="12">
        <f>B43*(1-Grunddaten!D$13)</f>
        <v>4568.0480941166552</v>
      </c>
      <c r="C44" s="12">
        <f t="shared" si="16"/>
        <v>65218.683388565136</v>
      </c>
      <c r="D44" s="12">
        <f t="shared" si="12"/>
        <v>33783.277995276738</v>
      </c>
      <c r="E44" s="39"/>
      <c r="F44" s="38" t="s">
        <v>93</v>
      </c>
      <c r="G44" s="6"/>
      <c r="H44" s="12">
        <f>SUM(N$6:N19)</f>
        <v>0</v>
      </c>
      <c r="I44" s="12">
        <f>SUM(O$6:O19)</f>
        <v>0</v>
      </c>
      <c r="J44" s="39"/>
      <c r="K44" s="38" t="s">
        <v>93</v>
      </c>
      <c r="L44" s="6"/>
      <c r="M44" s="6"/>
      <c r="N44" s="36">
        <f t="shared" si="14"/>
        <v>-65218.683388565136</v>
      </c>
      <c r="O44" s="36">
        <f t="shared" si="13"/>
        <v>-33783.277995276738</v>
      </c>
      <c r="P44" s="37">
        <f t="shared" si="15"/>
        <v>0</v>
      </c>
      <c r="Q44" s="39"/>
      <c r="R44" s="38" t="s">
        <v>93</v>
      </c>
      <c r="S44" s="100" t="e">
        <f>S43+#REF!</f>
        <v>#REF!</v>
      </c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</row>
    <row r="45" spans="1:91" ht="13">
      <c r="A45" s="50" t="s">
        <v>9</v>
      </c>
      <c r="B45" s="12">
        <f>B44*(1-Grunddaten!D$13)</f>
        <v>4554.343949834305</v>
      </c>
      <c r="C45" s="12">
        <f t="shared" si="16"/>
        <v>69773.027338399435</v>
      </c>
      <c r="D45" s="12">
        <f t="shared" si="12"/>
        <v>36142.428161290911</v>
      </c>
      <c r="E45" s="39"/>
      <c r="F45" s="38" t="s">
        <v>9</v>
      </c>
      <c r="G45" s="6"/>
      <c r="H45" s="12">
        <f>SUM(N$6:N20)</f>
        <v>0</v>
      </c>
      <c r="I45" s="12">
        <f>SUM(O$6:O20)</f>
        <v>0</v>
      </c>
      <c r="J45" s="39"/>
      <c r="K45" s="38" t="s">
        <v>9</v>
      </c>
      <c r="L45" s="6"/>
      <c r="M45" s="6"/>
      <c r="N45" s="36">
        <f t="shared" si="14"/>
        <v>-69773.027338399435</v>
      </c>
      <c r="O45" s="36">
        <f t="shared" si="13"/>
        <v>-36142.428161290911</v>
      </c>
      <c r="P45" s="37">
        <f t="shared" si="15"/>
        <v>0</v>
      </c>
      <c r="Q45" s="39"/>
      <c r="R45" s="38" t="s">
        <v>9</v>
      </c>
      <c r="S45" s="100" t="e">
        <f>S44+#REF!</f>
        <v>#REF!</v>
      </c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</row>
    <row r="46" spans="1:91" ht="13">
      <c r="A46" s="50" t="s">
        <v>94</v>
      </c>
      <c r="B46" s="12">
        <f>B45*(1-Grunddaten!D$13)</f>
        <v>4540.6809179848024</v>
      </c>
      <c r="C46" s="12">
        <f t="shared" si="16"/>
        <v>74313.708256384241</v>
      </c>
      <c r="D46" s="12">
        <f t="shared" si="12"/>
        <v>38494.50087680704</v>
      </c>
      <c r="E46" s="39"/>
      <c r="F46" s="38" t="s">
        <v>94</v>
      </c>
      <c r="G46" s="6"/>
      <c r="H46" s="12">
        <f>SUM(N$6:N21)</f>
        <v>0</v>
      </c>
      <c r="I46" s="12">
        <f>SUM(O$6:O21)</f>
        <v>0</v>
      </c>
      <c r="J46" s="39"/>
      <c r="K46" s="38" t="s">
        <v>94</v>
      </c>
      <c r="L46" s="6"/>
      <c r="M46" s="6"/>
      <c r="N46" s="36">
        <f t="shared" si="14"/>
        <v>-74313.708256384241</v>
      </c>
      <c r="O46" s="36">
        <f t="shared" si="13"/>
        <v>-38494.50087680704</v>
      </c>
      <c r="P46" s="37">
        <f t="shared" si="15"/>
        <v>0</v>
      </c>
      <c r="Q46" s="39"/>
      <c r="R46" s="38" t="s">
        <v>94</v>
      </c>
      <c r="S46" s="100" t="e">
        <f>S45+#REF!</f>
        <v>#REF!</v>
      </c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</row>
    <row r="47" spans="1:91" ht="13">
      <c r="A47" s="50" t="s">
        <v>95</v>
      </c>
      <c r="B47" s="12">
        <f>B46*(1-Grunddaten!D$13)</f>
        <v>4527.0588752308477</v>
      </c>
      <c r="C47" s="12">
        <f t="shared" si="16"/>
        <v>78840.767131615095</v>
      </c>
      <c r="D47" s="12">
        <f t="shared" si="12"/>
        <v>40839.517374176619</v>
      </c>
      <c r="E47" s="39"/>
      <c r="F47" s="38" t="s">
        <v>95</v>
      </c>
      <c r="G47" s="6"/>
      <c r="H47" s="12">
        <f>SUM(N$6:N22)</f>
        <v>0</v>
      </c>
      <c r="I47" s="12">
        <f>SUM(O$6:O22)</f>
        <v>0</v>
      </c>
      <c r="J47" s="39"/>
      <c r="K47" s="38" t="s">
        <v>95</v>
      </c>
      <c r="L47" s="6"/>
      <c r="M47" s="6"/>
      <c r="N47" s="36">
        <f t="shared" si="14"/>
        <v>-78840.767131615095</v>
      </c>
      <c r="O47" s="36">
        <f t="shared" si="13"/>
        <v>-40839.517374176619</v>
      </c>
      <c r="P47" s="37">
        <f t="shared" si="15"/>
        <v>0</v>
      </c>
      <c r="Q47" s="39"/>
      <c r="R47" s="38" t="s">
        <v>95</v>
      </c>
      <c r="S47" s="100" t="e">
        <f>S46+#REF!</f>
        <v>#REF!</v>
      </c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</row>
    <row r="48" spans="1:91" ht="13">
      <c r="A48" s="50" t="s">
        <v>96</v>
      </c>
      <c r="B48" s="12">
        <f>B47*(1-Grunddaten!D$13)</f>
        <v>4513.4776986051547</v>
      </c>
      <c r="C48" s="12">
        <f t="shared" si="16"/>
        <v>83354.244830220254</v>
      </c>
      <c r="D48" s="12">
        <f t="shared" si="12"/>
        <v>43177.498822054091</v>
      </c>
      <c r="E48" s="39"/>
      <c r="F48" s="38" t="s">
        <v>96</v>
      </c>
      <c r="G48" s="6"/>
      <c r="H48" s="12">
        <f>SUM(N$6:N23)</f>
        <v>0</v>
      </c>
      <c r="I48" s="12">
        <f>SUM(O$6:O23)</f>
        <v>0</v>
      </c>
      <c r="J48" s="39"/>
      <c r="K48" s="38" t="s">
        <v>96</v>
      </c>
      <c r="L48" s="6"/>
      <c r="M48" s="6"/>
      <c r="N48" s="36">
        <f t="shared" si="14"/>
        <v>-83354.244830220254</v>
      </c>
      <c r="O48" s="36">
        <f t="shared" si="13"/>
        <v>-43177.498822054091</v>
      </c>
      <c r="P48" s="37">
        <f t="shared" si="15"/>
        <v>0</v>
      </c>
      <c r="Q48" s="39"/>
      <c r="R48" s="38" t="s">
        <v>96</v>
      </c>
      <c r="S48" s="100" t="e">
        <f>S47+#REF!</f>
        <v>#REF!</v>
      </c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</row>
    <row r="49" spans="1:85" ht="13">
      <c r="A49" s="50" t="s">
        <v>97</v>
      </c>
      <c r="B49" s="12">
        <f>B48*(1-Grunddaten!D$13)</f>
        <v>4499.9372655093393</v>
      </c>
      <c r="C49" s="12">
        <f t="shared" si="16"/>
        <v>87854.1820957296</v>
      </c>
      <c r="D49" s="12">
        <f t="shared" si="12"/>
        <v>45508.466325587935</v>
      </c>
      <c r="E49" s="39"/>
      <c r="F49" s="38" t="s">
        <v>97</v>
      </c>
      <c r="G49" s="6"/>
      <c r="H49" s="12">
        <f>SUM(N$6:N24)</f>
        <v>0</v>
      </c>
      <c r="I49" s="12">
        <f>SUM(O$6:O24)</f>
        <v>0</v>
      </c>
      <c r="J49" s="39"/>
      <c r="K49" s="38" t="s">
        <v>97</v>
      </c>
      <c r="L49" s="6"/>
      <c r="M49" s="6"/>
      <c r="N49" s="36">
        <f t="shared" si="14"/>
        <v>-87854.1820957296</v>
      </c>
      <c r="O49" s="36">
        <f t="shared" si="13"/>
        <v>-45508.466325587935</v>
      </c>
      <c r="P49" s="37">
        <f t="shared" si="15"/>
        <v>0</v>
      </c>
      <c r="Q49" s="39"/>
      <c r="R49" s="38" t="s">
        <v>97</v>
      </c>
      <c r="S49" s="100" t="e">
        <f>S48+#REF!</f>
        <v>#REF!</v>
      </c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</row>
    <row r="50" spans="1:85" ht="13">
      <c r="A50" s="50" t="s">
        <v>10</v>
      </c>
      <c r="B50" s="12">
        <f>B49*(1-Grunddaten!D$13)</f>
        <v>4486.4374537128115</v>
      </c>
      <c r="C50" s="12">
        <f t="shared" si="16"/>
        <v>92340.619549442417</v>
      </c>
      <c r="D50" s="12">
        <f t="shared" si="12"/>
        <v>47832.440926611176</v>
      </c>
      <c r="E50" s="39"/>
      <c r="F50" s="38" t="s">
        <v>10</v>
      </c>
      <c r="G50" s="6"/>
      <c r="H50" s="12">
        <f>SUM(N$6:N25)</f>
        <v>0</v>
      </c>
      <c r="I50" s="12">
        <f>SUM(O$6:O25)</f>
        <v>0</v>
      </c>
      <c r="J50" s="39"/>
      <c r="K50" s="38" t="s">
        <v>10</v>
      </c>
      <c r="L50" s="6"/>
      <c r="M50" s="6"/>
      <c r="N50" s="36">
        <f t="shared" si="14"/>
        <v>-92340.619549442417</v>
      </c>
      <c r="O50" s="36">
        <f t="shared" si="13"/>
        <v>-47832.440926611176</v>
      </c>
      <c r="P50" s="37">
        <f>100*H50/C50</f>
        <v>0</v>
      </c>
      <c r="Q50" s="39"/>
      <c r="R50" s="38" t="s">
        <v>10</v>
      </c>
      <c r="S50" s="100" t="e">
        <f>S49+#REF!</f>
        <v>#REF!</v>
      </c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51"/>
      <c r="BY50" s="51"/>
      <c r="BZ50" s="51"/>
      <c r="CA50" s="51"/>
      <c r="CB50" s="51"/>
      <c r="CC50" s="51"/>
      <c r="CD50" s="51"/>
      <c r="CE50" s="51"/>
      <c r="CF50" s="51"/>
      <c r="CG50" s="51"/>
    </row>
    <row r="51" spans="1:85" s="20" customFormat="1" ht="13">
      <c r="A51" s="43"/>
      <c r="B51" s="44"/>
      <c r="C51" s="45"/>
      <c r="D51" s="45"/>
      <c r="E51" s="45"/>
      <c r="F51" s="43"/>
      <c r="G51" s="44"/>
      <c r="H51" s="45"/>
      <c r="I51" s="45"/>
      <c r="J51" s="45"/>
      <c r="K51" s="43"/>
      <c r="L51" s="44"/>
      <c r="M51" s="44"/>
      <c r="N51" s="46"/>
      <c r="O51" s="46"/>
      <c r="P51" s="47"/>
      <c r="AC51" s="126"/>
      <c r="AD51" s="126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69"/>
      <c r="BY51" s="69"/>
      <c r="BZ51" s="69"/>
      <c r="CA51" s="69"/>
      <c r="CB51" s="69"/>
      <c r="CC51" s="69"/>
      <c r="CD51" s="69"/>
      <c r="CE51" s="69"/>
      <c r="CF51" s="69"/>
      <c r="CG51" s="69"/>
    </row>
    <row r="52" spans="1:85" ht="13">
      <c r="A52" s="38"/>
      <c r="B52" s="6"/>
      <c r="C52" s="98">
        <f>Grunddaten!D13*20</f>
        <v>0.06</v>
      </c>
      <c r="D52" s="12"/>
      <c r="E52" s="148" t="s">
        <v>54</v>
      </c>
      <c r="F52" s="148"/>
      <c r="G52" s="148"/>
      <c r="H52" s="148"/>
      <c r="I52" s="148"/>
      <c r="J52" s="148"/>
      <c r="K52" s="38"/>
      <c r="L52" s="6"/>
      <c r="M52" s="6"/>
      <c r="N52" s="36"/>
      <c r="O52" s="36"/>
      <c r="P52" s="37"/>
      <c r="Q52" s="99"/>
      <c r="R52" s="99"/>
      <c r="S52" s="99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</row>
    <row r="53" spans="1:85" ht="13">
      <c r="A53" s="38" t="s">
        <v>53</v>
      </c>
      <c r="B53" s="6"/>
      <c r="C53" s="12">
        <f>C50+Startjahr_Soll</f>
        <v>97090.619549442417</v>
      </c>
      <c r="D53" s="12">
        <f>C53*Vergütung_kW</f>
        <v>50292.940926611176</v>
      </c>
      <c r="E53" s="39"/>
      <c r="F53" s="38" t="s">
        <v>53</v>
      </c>
      <c r="G53" s="6"/>
      <c r="H53" s="12">
        <f>N27</f>
        <v>0</v>
      </c>
      <c r="I53" s="12">
        <f>O27</f>
        <v>0</v>
      </c>
      <c r="J53" s="39"/>
      <c r="K53" s="38" t="s">
        <v>53</v>
      </c>
      <c r="L53" s="6"/>
      <c r="M53" s="6"/>
      <c r="N53" s="36">
        <f>H53-C53</f>
        <v>-97090.619549442417</v>
      </c>
      <c r="O53" s="36">
        <f>N53*Vergütung_kW</f>
        <v>-50292.940926611176</v>
      </c>
      <c r="P53" s="37">
        <f>100*H53/C53</f>
        <v>0</v>
      </c>
      <c r="Q53" s="39"/>
      <c r="R53" s="38" t="s">
        <v>53</v>
      </c>
      <c r="S53" s="101" t="e">
        <f>S50+#REF!</f>
        <v>#REF!</v>
      </c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</row>
    <row r="54" spans="1:85"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</row>
    <row r="55" spans="1:85">
      <c r="B55" s="96" t="str">
        <f>IF(LARGE(B4:B25,1)=0," ",LARGE(B4:B25,1))</f>
        <v xml:space="preserve"> </v>
      </c>
      <c r="C55" s="96" t="str">
        <f t="shared" ref="C55:M55" si="17">IF(LARGE(C4:C25,1)=0," ",LARGE(C4:C25,1))</f>
        <v xml:space="preserve"> </v>
      </c>
      <c r="D55" s="96" t="str">
        <f t="shared" si="17"/>
        <v xml:space="preserve"> </v>
      </c>
      <c r="E55" s="96" t="str">
        <f t="shared" si="17"/>
        <v xml:space="preserve"> </v>
      </c>
      <c r="F55" s="96" t="str">
        <f t="shared" si="17"/>
        <v xml:space="preserve"> </v>
      </c>
      <c r="G55" s="96" t="str">
        <f t="shared" si="17"/>
        <v xml:space="preserve"> </v>
      </c>
      <c r="H55" s="96" t="str">
        <f t="shared" si="17"/>
        <v xml:space="preserve"> </v>
      </c>
      <c r="I55" s="96" t="str">
        <f t="shared" si="17"/>
        <v xml:space="preserve"> </v>
      </c>
      <c r="J55" s="96" t="str">
        <f t="shared" si="17"/>
        <v xml:space="preserve"> </v>
      </c>
      <c r="K55" s="96" t="str">
        <f t="shared" si="17"/>
        <v xml:space="preserve"> </v>
      </c>
      <c r="L55" s="96" t="str">
        <f t="shared" si="17"/>
        <v xml:space="preserve"> </v>
      </c>
      <c r="M55" s="96" t="str">
        <f t="shared" si="17"/>
        <v xml:space="preserve"> </v>
      </c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</row>
    <row r="56" spans="1:85"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</row>
    <row r="57" spans="1:85"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</row>
    <row r="58" spans="1:85"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</row>
    <row r="59" spans="1:85"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</row>
    <row r="60" spans="1:85"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</row>
    <row r="61" spans="1:85"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</row>
    <row r="62" spans="1:85"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</row>
    <row r="63" spans="1:85"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</row>
    <row r="64" spans="1:85"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</row>
    <row r="65" spans="60:82"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</row>
    <row r="66" spans="60:82"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</row>
    <row r="67" spans="60:82"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</row>
    <row r="68" spans="60:82"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</row>
    <row r="69" spans="60:82">
      <c r="BX69" s="68"/>
      <c r="BY69" s="68"/>
      <c r="BZ69" s="68"/>
      <c r="CA69" s="68"/>
      <c r="CB69" s="68"/>
      <c r="CC69" s="68"/>
      <c r="CD69" s="68"/>
    </row>
  </sheetData>
  <sheetProtection password="C7FA" sheet="1" objects="1" scenarios="1" selectLockedCells="1" selectUnlockedCells="1"/>
  <mergeCells count="7">
    <mergeCell ref="S1:V1"/>
    <mergeCell ref="U2:V2"/>
    <mergeCell ref="B26:M26"/>
    <mergeCell ref="E52:J52"/>
    <mergeCell ref="N2:O2"/>
    <mergeCell ref="P2:R2"/>
    <mergeCell ref="N1:O1"/>
  </mergeCells>
  <phoneticPr fontId="4" type="noConversion"/>
  <conditionalFormatting sqref="P31:P53">
    <cfRule type="cellIs" dxfId="33" priority="3" stopIfTrue="1" operator="lessThan">
      <formula>100</formula>
    </cfRule>
    <cfRule type="cellIs" dxfId="32" priority="4" stopIfTrue="1" operator="greaterThanOrEqual">
      <formula>100</formula>
    </cfRule>
  </conditionalFormatting>
  <conditionalFormatting sqref="B4:B25">
    <cfRule type="cellIs" dxfId="31" priority="5" stopIfTrue="1" operator="equal">
      <formula>$B$55</formula>
    </cfRule>
    <cfRule type="cellIs" dxfId="30" priority="6" operator="greaterThanOrEqual">
      <formula>$B$2</formula>
    </cfRule>
  </conditionalFormatting>
  <conditionalFormatting sqref="C4:C25">
    <cfRule type="cellIs" dxfId="29" priority="7" stopIfTrue="1" operator="equal">
      <formula>$C$55</formula>
    </cfRule>
    <cfRule type="cellIs" dxfId="28" priority="8" operator="greaterThanOrEqual">
      <formula>$C$2</formula>
    </cfRule>
  </conditionalFormatting>
  <conditionalFormatting sqref="D4:D25">
    <cfRule type="cellIs" dxfId="27" priority="9" stopIfTrue="1" operator="equal">
      <formula>$D$55</formula>
    </cfRule>
    <cfRule type="cellIs" dxfId="26" priority="10" operator="greaterThanOrEqual">
      <formula>$D$2</formula>
    </cfRule>
  </conditionalFormatting>
  <conditionalFormatting sqref="E4:E25">
    <cfRule type="cellIs" dxfId="25" priority="11" stopIfTrue="1" operator="equal">
      <formula>$E$55</formula>
    </cfRule>
    <cfRule type="cellIs" dxfId="24" priority="12" operator="greaterThanOrEqual">
      <formula>$E$2</formula>
    </cfRule>
  </conditionalFormatting>
  <conditionalFormatting sqref="F4:F25">
    <cfRule type="cellIs" dxfId="23" priority="13" stopIfTrue="1" operator="equal">
      <formula>$F$55</formula>
    </cfRule>
    <cfRule type="cellIs" dxfId="22" priority="14" operator="greaterThanOrEqual">
      <formula>$F$2</formula>
    </cfRule>
  </conditionalFormatting>
  <conditionalFormatting sqref="G4:G25">
    <cfRule type="cellIs" dxfId="21" priority="15" stopIfTrue="1" operator="equal">
      <formula>$G$55</formula>
    </cfRule>
    <cfRule type="cellIs" dxfId="20" priority="16" operator="greaterThanOrEqual">
      <formula>$G$2</formula>
    </cfRule>
  </conditionalFormatting>
  <conditionalFormatting sqref="H4:H25">
    <cfRule type="cellIs" dxfId="19" priority="17" stopIfTrue="1" operator="equal">
      <formula>$H$55</formula>
    </cfRule>
  </conditionalFormatting>
  <conditionalFormatting sqref="I4:I25">
    <cfRule type="cellIs" dxfId="18" priority="18" stopIfTrue="1" operator="equal">
      <formula>$I$55</formula>
    </cfRule>
    <cfRule type="cellIs" dxfId="17" priority="19" operator="greaterThanOrEqual">
      <formula>$I$2</formula>
    </cfRule>
  </conditionalFormatting>
  <conditionalFormatting sqref="J4:J25">
    <cfRule type="cellIs" dxfId="16" priority="20" stopIfTrue="1" operator="equal">
      <formula>$J$55</formula>
    </cfRule>
    <cfRule type="cellIs" dxfId="15" priority="21" operator="greaterThanOrEqual">
      <formula>$J$2</formula>
    </cfRule>
  </conditionalFormatting>
  <conditionalFormatting sqref="K4:K25">
    <cfRule type="cellIs" dxfId="14" priority="22" stopIfTrue="1" operator="equal">
      <formula>$K$55</formula>
    </cfRule>
    <cfRule type="cellIs" dxfId="13" priority="23" operator="greaterThanOrEqual">
      <formula>$K$2</formula>
    </cfRule>
  </conditionalFormatting>
  <conditionalFormatting sqref="L4:L25">
    <cfRule type="cellIs" dxfId="12" priority="24" stopIfTrue="1" operator="equal">
      <formula>$L$55</formula>
    </cfRule>
    <cfRule type="cellIs" dxfId="11" priority="25" operator="greaterThanOrEqual">
      <formula>$L$2</formula>
    </cfRule>
  </conditionalFormatting>
  <conditionalFormatting sqref="M4:M25">
    <cfRule type="cellIs" dxfId="10" priority="26" stopIfTrue="1" operator="equal">
      <formula>$M$55</formula>
    </cfRule>
    <cfRule type="cellIs" dxfId="9" priority="27" operator="greaterThanOrEqual">
      <formula>$M$2</formula>
    </cfRule>
  </conditionalFormatting>
  <conditionalFormatting sqref="R4:R25">
    <cfRule type="cellIs" dxfId="8" priority="32" stopIfTrue="1" operator="lessThan">
      <formula>100</formula>
    </cfRule>
    <cfRule type="cellIs" dxfId="7" priority="33" stopIfTrue="1" operator="greaterThanOrEqual">
      <formula>100</formula>
    </cfRule>
  </conditionalFormatting>
  <conditionalFormatting sqref="H25">
    <cfRule type="cellIs" dxfId="6" priority="34" stopIfTrue="1" operator="lessThan">
      <formula>$H$2</formula>
    </cfRule>
    <cfRule type="cellIs" dxfId="5" priority="35" operator="greaterThanOrEqual">
      <formula>$H$2</formula>
    </cfRule>
  </conditionalFormatting>
  <conditionalFormatting sqref="N4:N25">
    <cfRule type="cellIs" dxfId="4" priority="61" stopIfTrue="1" operator="lessThan">
      <formula>$X$4</formula>
    </cfRule>
    <cfRule type="cellIs" dxfId="3" priority="62" stopIfTrue="1" operator="greaterThanOrEqual">
      <formula>$X$4</formula>
    </cfRule>
  </conditionalFormatting>
  <conditionalFormatting sqref="O4:O25">
    <cfRule type="cellIs" dxfId="2" priority="63" stopIfTrue="1" operator="lessThan">
      <formula>$Y$4</formula>
    </cfRule>
    <cfRule type="cellIs" dxfId="1" priority="64" stopIfTrue="1" operator="greaterThanOrEqual">
      <formula>$Y$4</formula>
    </cfRule>
  </conditionalFormatting>
  <conditionalFormatting sqref="R4">
    <cfRule type="containsErrors" dxfId="0" priority="1" stopIfTrue="1">
      <formula>ISERROR(R4)</formula>
    </cfRule>
  </conditionalFormatting>
  <printOptions gridLines="1"/>
  <pageMargins left="0.59055118110236227" right="0.59055118110236227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4</vt:i4>
      </vt:variant>
      <vt:variant>
        <vt:lpstr>Benannte Bereiche</vt:lpstr>
      </vt:variant>
      <vt:variant>
        <vt:i4>22</vt:i4>
      </vt:variant>
    </vt:vector>
  </HeadingPairs>
  <TitlesOfParts>
    <vt:vector size="28" baseType="lpstr">
      <vt:lpstr>Grunddaten</vt:lpstr>
      <vt:lpstr>Auswertung</vt:lpstr>
      <vt:lpstr>Installations-Jahr</vt:lpstr>
      <vt:lpstr>5-Jahre</vt:lpstr>
      <vt:lpstr>10-Jahre</vt:lpstr>
      <vt:lpstr>20-Jahre</vt:lpstr>
      <vt:lpstr>Anlagengröße</vt:lpstr>
      <vt:lpstr>Apr_Prozent</vt:lpstr>
      <vt:lpstr>Aug_Prozent</vt:lpstr>
      <vt:lpstr>Dez_Prozent</vt:lpstr>
      <vt:lpstr>Auswertung!Druckbereich</vt:lpstr>
      <vt:lpstr>Effektive_Fläche</vt:lpstr>
      <vt:lpstr>Feb_Prozent</vt:lpstr>
      <vt:lpstr>Jahres_Soll</vt:lpstr>
      <vt:lpstr>Jan_Prozent</vt:lpstr>
      <vt:lpstr>Jul_Prozent</vt:lpstr>
      <vt:lpstr>Jun_Prozent</vt:lpstr>
      <vt:lpstr>Mai_Prozent</vt:lpstr>
      <vt:lpstr>Mrz_Prozent</vt:lpstr>
      <vt:lpstr>Nov_Prozent</vt:lpstr>
      <vt:lpstr>Okt_Prozent</vt:lpstr>
      <vt:lpstr>Produktionstage</vt:lpstr>
      <vt:lpstr>Sep_Prozent</vt:lpstr>
      <vt:lpstr>Startdatum</vt:lpstr>
      <vt:lpstr>Startjahr_Ist</vt:lpstr>
      <vt:lpstr>Startjahr_Soll</vt:lpstr>
      <vt:lpstr>Tage_Jahr</vt:lpstr>
      <vt:lpstr>Vergütung_kW</vt:lpstr>
    </vt:vector>
  </TitlesOfParts>
  <Company>Solarstrom-von-dr-Alb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Jahresvergleich PV-Erträge</dc:title>
  <dc:creator>Thomas Werber</dc:creator>
  <cp:lastModifiedBy>Thomas Werber</cp:lastModifiedBy>
  <cp:lastPrinted>2008-12-08T10:19:35Z</cp:lastPrinted>
  <dcterms:created xsi:type="dcterms:W3CDTF">2006-05-20T12:10:45Z</dcterms:created>
  <dcterms:modified xsi:type="dcterms:W3CDTF">2023-01-03T13:35:47Z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